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ime\Documents\2021 II\DIRECCION DE PROYECTO\JAIME YEDY 2022\Anexos Tesis\"/>
    </mc:Choice>
  </mc:AlternateContent>
  <bookViews>
    <workbookView xWindow="0" yWindow="0" windowWidth="15345" windowHeight="3735"/>
  </bookViews>
  <sheets>
    <sheet name="Propuesta de operación" sheetId="5" r:id="rId1"/>
    <sheet name="Costos mantener" sheetId="3" r:id="rId2"/>
    <sheet name="Costos ordenar" sheetId="4" r:id="rId3"/>
    <sheet name="Tiempos" sheetId="1" r:id="rId4"/>
    <sheet name="Hoja1" sheetId="2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2" i="5" l="1"/>
  <c r="J42" i="5"/>
  <c r="I42" i="5"/>
  <c r="K40" i="5"/>
  <c r="L32" i="5"/>
  <c r="J32" i="5"/>
  <c r="J31" i="5"/>
  <c r="L31" i="5" s="1"/>
  <c r="H21" i="5"/>
  <c r="F21" i="5"/>
  <c r="E21" i="5"/>
  <c r="K20" i="5"/>
  <c r="J20" i="5"/>
  <c r="I20" i="5"/>
  <c r="H20" i="5"/>
  <c r="E20" i="5"/>
  <c r="F20" i="5" s="1"/>
  <c r="J19" i="5"/>
  <c r="I19" i="5"/>
  <c r="H19" i="5"/>
  <c r="E19" i="5"/>
  <c r="E22" i="5" s="1"/>
  <c r="K17" i="5"/>
  <c r="J17" i="5"/>
  <c r="I17" i="5"/>
  <c r="H17" i="5"/>
  <c r="H26" i="5" l="1"/>
  <c r="L26" i="5" s="1"/>
  <c r="J25" i="5"/>
  <c r="J41" i="5" s="1"/>
  <c r="I25" i="5"/>
  <c r="I41" i="5" s="1"/>
  <c r="H25" i="5"/>
  <c r="K25" i="5"/>
  <c r="K41" i="5" s="1"/>
  <c r="K43" i="5" s="1"/>
  <c r="N21" i="5"/>
  <c r="F19" i="5"/>
  <c r="I44" i="3"/>
  <c r="J44" i="3"/>
  <c r="K44" i="3"/>
  <c r="H44" i="3"/>
  <c r="I43" i="3"/>
  <c r="J43" i="3"/>
  <c r="K43" i="3"/>
  <c r="H43" i="3"/>
  <c r="I40" i="3"/>
  <c r="J40" i="3"/>
  <c r="K40" i="3"/>
  <c r="I41" i="3"/>
  <c r="L41" i="3" s="1"/>
  <c r="J41" i="3"/>
  <c r="K41" i="3"/>
  <c r="I42" i="3"/>
  <c r="L42" i="3" s="1"/>
  <c r="J42" i="3"/>
  <c r="K42" i="3"/>
  <c r="H41" i="3"/>
  <c r="H42" i="3"/>
  <c r="H40" i="3"/>
  <c r="L40" i="3"/>
  <c r="P21" i="3"/>
  <c r="Q21" i="3"/>
  <c r="R21" i="3"/>
  <c r="O21" i="3"/>
  <c r="N21" i="3"/>
  <c r="J32" i="4"/>
  <c r="L32" i="4" s="1"/>
  <c r="L31" i="4"/>
  <c r="J31" i="4"/>
  <c r="H21" i="4"/>
  <c r="E21" i="4"/>
  <c r="F21" i="4" s="1"/>
  <c r="H26" i="4" s="1"/>
  <c r="L26" i="4" s="1"/>
  <c r="K20" i="4"/>
  <c r="J20" i="4"/>
  <c r="I20" i="4"/>
  <c r="H20" i="4"/>
  <c r="E20" i="4"/>
  <c r="E22" i="4" s="1"/>
  <c r="J19" i="4"/>
  <c r="I19" i="4"/>
  <c r="H19" i="4"/>
  <c r="F19" i="4"/>
  <c r="I24" i="4" s="1"/>
  <c r="E19" i="4"/>
  <c r="K17" i="4"/>
  <c r="J17" i="4"/>
  <c r="I17" i="4"/>
  <c r="H17" i="4"/>
  <c r="F22" i="3"/>
  <c r="L32" i="3"/>
  <c r="L31" i="3"/>
  <c r="E22" i="3"/>
  <c r="J32" i="3"/>
  <c r="J31" i="3"/>
  <c r="L26" i="3"/>
  <c r="L24" i="3"/>
  <c r="I24" i="3"/>
  <c r="J24" i="3"/>
  <c r="I25" i="3"/>
  <c r="J25" i="3"/>
  <c r="L25" i="3" s="1"/>
  <c r="L27" i="3" s="1"/>
  <c r="J33" i="3" s="1"/>
  <c r="L33" i="3" s="1"/>
  <c r="K25" i="3"/>
  <c r="H26" i="3"/>
  <c r="H25" i="3"/>
  <c r="H24" i="3"/>
  <c r="F21" i="3"/>
  <c r="E21" i="3"/>
  <c r="E20" i="3"/>
  <c r="F20" i="3" s="1"/>
  <c r="F19" i="3"/>
  <c r="E19" i="3"/>
  <c r="K20" i="3"/>
  <c r="J20" i="3"/>
  <c r="J19" i="3"/>
  <c r="I20" i="3"/>
  <c r="I19" i="3"/>
  <c r="H21" i="3"/>
  <c r="H20" i="3"/>
  <c r="H19" i="3"/>
  <c r="K17" i="3"/>
  <c r="J17" i="3"/>
  <c r="I17" i="3"/>
  <c r="H17" i="3"/>
  <c r="H42" i="5" l="1"/>
  <c r="L42" i="5" s="1"/>
  <c r="J40" i="5"/>
  <c r="J43" i="5" s="1"/>
  <c r="I40" i="5"/>
  <c r="I43" i="5" s="1"/>
  <c r="H24" i="5"/>
  <c r="F22" i="5"/>
  <c r="Q21" i="5"/>
  <c r="P21" i="5"/>
  <c r="O21" i="5"/>
  <c r="H41" i="5"/>
  <c r="L41" i="5" s="1"/>
  <c r="L25" i="5"/>
  <c r="R21" i="5"/>
  <c r="L43" i="3"/>
  <c r="L34" i="3"/>
  <c r="F20" i="4"/>
  <c r="J24" i="4"/>
  <c r="F22" i="4"/>
  <c r="H24" i="4"/>
  <c r="F17" i="1"/>
  <c r="G17" i="1"/>
  <c r="H17" i="1"/>
  <c r="E17" i="1"/>
  <c r="H40" i="5" l="1"/>
  <c r="L24" i="5"/>
  <c r="L27" i="5" s="1"/>
  <c r="J33" i="5" s="1"/>
  <c r="L33" i="5" s="1"/>
  <c r="L34" i="5" s="1"/>
  <c r="I25" i="4"/>
  <c r="H25" i="4"/>
  <c r="K25" i="4"/>
  <c r="J25" i="4"/>
  <c r="L24" i="4"/>
  <c r="L49" i="5" l="1"/>
  <c r="L50" i="5" s="1"/>
  <c r="K36" i="5"/>
  <c r="H43" i="5"/>
  <c r="L40" i="5"/>
  <c r="L43" i="5" s="1"/>
  <c r="L25" i="4"/>
  <c r="L27" i="4"/>
  <c r="J33" i="4" s="1"/>
  <c r="L33" i="4" s="1"/>
  <c r="L34" i="4" s="1"/>
  <c r="K44" i="5" l="1"/>
  <c r="I44" i="5"/>
  <c r="J44" i="5"/>
  <c r="H44" i="5"/>
</calcChain>
</file>

<file path=xl/sharedStrings.xml><?xml version="1.0" encoding="utf-8"?>
<sst xmlns="http://schemas.openxmlformats.org/spreadsheetml/2006/main" count="146" uniqueCount="40">
  <si>
    <t xml:space="preserve">TIEMPO DESTINADO EN ACTIVIDADES </t>
  </si>
  <si>
    <t>OPERACIÓN</t>
  </si>
  <si>
    <t>INSPECCION</t>
  </si>
  <si>
    <t>TRANSPORTE</t>
  </si>
  <si>
    <t>ALMACENAMIENTO</t>
  </si>
  <si>
    <t>N°</t>
  </si>
  <si>
    <t>Numero Ei</t>
  </si>
  <si>
    <t>Administrativos</t>
  </si>
  <si>
    <t>Bodega y operativos</t>
  </si>
  <si>
    <t>Otros cargos</t>
  </si>
  <si>
    <t>Costo promedio</t>
  </si>
  <si>
    <t>Numero Eadm</t>
  </si>
  <si>
    <t>Numero Eopr</t>
  </si>
  <si>
    <t>Numero Eapo</t>
  </si>
  <si>
    <t>Suma decostos de nomina por nivel</t>
  </si>
  <si>
    <t>Costo operación</t>
  </si>
  <si>
    <t>Costo insoección</t>
  </si>
  <si>
    <t>Costo transporte</t>
  </si>
  <si>
    <t>Costo almacenamiento</t>
  </si>
  <si>
    <t xml:space="preserve">Costos </t>
  </si>
  <si>
    <t>Costo mantener unidades</t>
  </si>
  <si>
    <t>Costos mantener inventario</t>
  </si>
  <si>
    <t>Energía</t>
  </si>
  <si>
    <t>Imp. Predial</t>
  </si>
  <si>
    <t>Personal</t>
  </si>
  <si>
    <t>Mensual</t>
  </si>
  <si>
    <t>401278 Mensual</t>
  </si>
  <si>
    <t>1264874 Anual</t>
  </si>
  <si>
    <t>84517 mensual calculado</t>
  </si>
  <si>
    <t>Participación</t>
  </si>
  <si>
    <t>Costos Paciales</t>
  </si>
  <si>
    <t>Costo total</t>
  </si>
  <si>
    <t>TIEMPO TOTAL</t>
  </si>
  <si>
    <t>Costo inspección</t>
  </si>
  <si>
    <t>Suma</t>
  </si>
  <si>
    <t>Porcentaje</t>
  </si>
  <si>
    <t>Combinar en operación</t>
  </si>
  <si>
    <t>Costo Inicial</t>
  </si>
  <si>
    <t>Costo propuesta</t>
  </si>
  <si>
    <t>Costo de mantenimiento diario por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</si>
</sst>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/>
    <xf numFmtId="0" fontId="1" fillId="3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1" fontId="0" fillId="0" borderId="0" xfId="1" applyFont="1"/>
    <xf numFmtId="0" fontId="0" fillId="4" borderId="1" xfId="0" applyFill="1" applyBorder="1"/>
    <xf numFmtId="41" fontId="0" fillId="0" borderId="1" xfId="1" applyFont="1" applyBorder="1"/>
    <xf numFmtId="0" fontId="0" fillId="0" borderId="1" xfId="0" applyBorder="1"/>
    <xf numFmtId="0" fontId="0" fillId="6" borderId="1" xfId="0" applyFill="1" applyBorder="1"/>
    <xf numFmtId="0" fontId="0" fillId="5" borderId="1" xfId="0" applyFill="1" applyBorder="1"/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41" fontId="0" fillId="0" borderId="1" xfId="1" applyFont="1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41" fontId="0" fillId="0" borderId="1" xfId="0" applyNumberFormat="1" applyBorder="1" applyAlignment="1">
      <alignment vertical="center"/>
    </xf>
    <xf numFmtId="41" fontId="0" fillId="0" borderId="0" xfId="0" applyNumberFormat="1"/>
    <xf numFmtId="9" fontId="0" fillId="0" borderId="1" xfId="1" applyNumberFormat="1" applyFont="1" applyBorder="1"/>
    <xf numFmtId="41" fontId="0" fillId="0" borderId="1" xfId="0" applyNumberFormat="1" applyBorder="1"/>
    <xf numFmtId="41" fontId="1" fillId="0" borderId="1" xfId="1" applyFont="1" applyBorder="1" applyAlignment="1">
      <alignment horizontal="center"/>
    </xf>
    <xf numFmtId="41" fontId="1" fillId="0" borderId="1" xfId="1" applyFont="1" applyBorder="1"/>
    <xf numFmtId="0" fontId="0" fillId="0" borderId="1" xfId="0" applyFill="1" applyBorder="1"/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0" fillId="0" borderId="1" xfId="2" applyNumberFormat="1" applyFont="1" applyBorder="1" applyAlignment="1">
      <alignment horizontal="center" vertical="center"/>
    </xf>
    <xf numFmtId="164" fontId="0" fillId="0" borderId="1" xfId="2" applyNumberFormat="1" applyFont="1" applyBorder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/>
    <xf numFmtId="0" fontId="5" fillId="2" borderId="0" xfId="0" applyFont="1" applyFill="1" applyAlignment="1">
      <alignment horizontal="center" vertical="center"/>
    </xf>
    <xf numFmtId="0" fontId="4" fillId="4" borderId="1" xfId="0" applyFont="1" applyFill="1" applyBorder="1"/>
    <xf numFmtId="41" fontId="4" fillId="0" borderId="1" xfId="1" applyFont="1" applyBorder="1"/>
    <xf numFmtId="0" fontId="4" fillId="6" borderId="1" xfId="0" applyFont="1" applyFill="1" applyBorder="1"/>
    <xf numFmtId="0" fontId="4" fillId="5" borderId="1" xfId="0" applyFont="1" applyFill="1" applyBorder="1"/>
    <xf numFmtId="164" fontId="4" fillId="0" borderId="1" xfId="2" applyNumberFormat="1" applyFont="1" applyBorder="1" applyAlignment="1">
      <alignment horizontal="center" vertical="center"/>
    </xf>
    <xf numFmtId="41" fontId="4" fillId="0" borderId="1" xfId="0" applyNumberFormat="1" applyFont="1" applyBorder="1"/>
    <xf numFmtId="0" fontId="5" fillId="2" borderId="0" xfId="0" applyFont="1" applyFill="1" applyAlignment="1">
      <alignment horizontal="center" vertical="center" wrapText="1"/>
    </xf>
    <xf numFmtId="0" fontId="4" fillId="0" borderId="1" xfId="0" applyFont="1" applyFill="1" applyBorder="1"/>
    <xf numFmtId="41" fontId="4" fillId="0" borderId="1" xfId="1" applyFont="1" applyBorder="1" applyAlignment="1">
      <alignment horizontal="center" vertical="center"/>
    </xf>
    <xf numFmtId="41" fontId="4" fillId="0" borderId="2" xfId="1" applyFont="1" applyBorder="1" applyAlignment="1">
      <alignment horizontal="center" vertical="center"/>
    </xf>
    <xf numFmtId="41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41" fontId="4" fillId="0" borderId="0" xfId="0" applyNumberFormat="1" applyFont="1"/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9" fontId="4" fillId="0" borderId="1" xfId="1" applyNumberFormat="1" applyFont="1" applyBorder="1"/>
    <xf numFmtId="41" fontId="4" fillId="0" borderId="0" xfId="1" applyFont="1"/>
    <xf numFmtId="41" fontId="6" fillId="0" borderId="1" xfId="1" applyFont="1" applyBorder="1" applyAlignment="1">
      <alignment horizontal="center"/>
    </xf>
    <xf numFmtId="41" fontId="6" fillId="0" borderId="1" xfId="1" applyFont="1" applyBorder="1"/>
    <xf numFmtId="164" fontId="4" fillId="0" borderId="1" xfId="2" applyNumberFormat="1" applyFont="1" applyBorder="1"/>
    <xf numFmtId="41" fontId="4" fillId="0" borderId="0" xfId="1" applyNumberFormat="1" applyFont="1"/>
    <xf numFmtId="164" fontId="4" fillId="0" borderId="0" xfId="2" applyNumberFormat="1" applyFont="1"/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35892388451444"/>
          <c:y val="5.0925925925925923E-2"/>
          <c:w val="0.85736242344706926"/>
          <c:h val="0.61880504520268298"/>
        </c:manualLayout>
      </c:layout>
      <c:barChart>
        <c:barDir val="col"/>
        <c:grouping val="clustered"/>
        <c:varyColors val="0"/>
        <c:ser>
          <c:idx val="0"/>
          <c:order val="0"/>
          <c:tx>
            <c:v>Funciones proceso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'Propuesta de operación'!$O$20:$R$20</c:f>
              <c:strCache>
                <c:ptCount val="4"/>
                <c:pt idx="0">
                  <c:v>OPERACIÓN</c:v>
                </c:pt>
                <c:pt idx="1">
                  <c:v>INSPECCION</c:v>
                </c:pt>
                <c:pt idx="2">
                  <c:v>TRANSPORTE</c:v>
                </c:pt>
                <c:pt idx="3">
                  <c:v>ALMACENAMIENTO</c:v>
                </c:pt>
              </c:strCache>
            </c:strRef>
          </c:cat>
          <c:val>
            <c:numRef>
              <c:f>'Propuesta de operación'!$O$21:$R$21</c:f>
              <c:numCache>
                <c:formatCode>0.0%</c:formatCode>
                <c:ptCount val="4"/>
                <c:pt idx="0">
                  <c:v>0.72641509433962259</c:v>
                </c:pt>
                <c:pt idx="1">
                  <c:v>3.7735849056603772E-2</c:v>
                </c:pt>
                <c:pt idx="2">
                  <c:v>0.17924528301886791</c:v>
                </c:pt>
                <c:pt idx="3">
                  <c:v>5.6603773584905662E-2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57802376"/>
        <c:axId val="257799632"/>
      </c:barChart>
      <c:lineChart>
        <c:grouping val="standard"/>
        <c:varyColors val="0"/>
        <c:ser>
          <c:idx val="1"/>
          <c:order val="1"/>
          <c:tx>
            <c:v>Costos proceso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'Propuesta de operación'!$H$44:$K$44</c:f>
              <c:numCache>
                <c:formatCode>0.0%</c:formatCode>
                <c:ptCount val="4"/>
                <c:pt idx="0">
                  <c:v>0.63436826489076226</c:v>
                </c:pt>
                <c:pt idx="1">
                  <c:v>0.1947757841236126</c:v>
                </c:pt>
                <c:pt idx="2">
                  <c:v>4.1005428236550019E-2</c:v>
                </c:pt>
                <c:pt idx="3">
                  <c:v>0.12985052274907508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802376"/>
        <c:axId val="257799632"/>
      </c:lineChart>
      <c:catAx>
        <c:axId val="257802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7799632"/>
        <c:crosses val="autoZero"/>
        <c:auto val="1"/>
        <c:lblAlgn val="ctr"/>
        <c:lblOffset val="100"/>
        <c:noMultiLvlLbl val="0"/>
      </c:catAx>
      <c:valAx>
        <c:axId val="257799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7802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627690288713911"/>
          <c:y val="0.79687445319335082"/>
          <c:w val="0.2726119860017498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35892388451444"/>
          <c:y val="5.0925925925925923E-2"/>
          <c:w val="0.85736242344706926"/>
          <c:h val="0.61880504520268298"/>
        </c:manualLayout>
      </c:layout>
      <c:barChart>
        <c:barDir val="col"/>
        <c:grouping val="clustered"/>
        <c:varyColors val="0"/>
        <c:ser>
          <c:idx val="0"/>
          <c:order val="0"/>
          <c:tx>
            <c:v>Funciones proceso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'Costos mantener'!$O$20:$R$20</c:f>
              <c:strCache>
                <c:ptCount val="4"/>
                <c:pt idx="0">
                  <c:v>OPERACIÓN</c:v>
                </c:pt>
                <c:pt idx="1">
                  <c:v>INSPECCION</c:v>
                </c:pt>
                <c:pt idx="2">
                  <c:v>TRANSPORTE</c:v>
                </c:pt>
                <c:pt idx="3">
                  <c:v>ALMACENAMIENTO</c:v>
                </c:pt>
              </c:strCache>
            </c:strRef>
          </c:cat>
          <c:val>
            <c:numRef>
              <c:f>'Costos mantener'!$O$21:$R$21</c:f>
              <c:numCache>
                <c:formatCode>0.0%</c:formatCode>
                <c:ptCount val="4"/>
                <c:pt idx="0">
                  <c:v>0.56692913385826771</c:v>
                </c:pt>
                <c:pt idx="1">
                  <c:v>0.18110236220472442</c:v>
                </c:pt>
                <c:pt idx="2">
                  <c:v>0.20472440944881889</c:v>
                </c:pt>
                <c:pt idx="3">
                  <c:v>4.7244094488188976E-2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46413568"/>
        <c:axId val="446414352"/>
      </c:barChart>
      <c:lineChart>
        <c:grouping val="standard"/>
        <c:varyColors val="0"/>
        <c:ser>
          <c:idx val="1"/>
          <c:order val="1"/>
          <c:tx>
            <c:v>Costos proceso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'Costos mantener'!$H$44:$K$44</c:f>
              <c:numCache>
                <c:formatCode>0.0%</c:formatCode>
                <c:ptCount val="4"/>
                <c:pt idx="0">
                  <c:v>0.10146040633269281</c:v>
                </c:pt>
                <c:pt idx="1">
                  <c:v>0.12190661951074321</c:v>
                </c:pt>
                <c:pt idx="2">
                  <c:v>0.67529624868238969</c:v>
                </c:pt>
                <c:pt idx="3">
                  <c:v>0.1013367254741743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413568"/>
        <c:axId val="446414352"/>
      </c:lineChart>
      <c:catAx>
        <c:axId val="4464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414352"/>
        <c:crosses val="autoZero"/>
        <c:auto val="1"/>
        <c:lblAlgn val="ctr"/>
        <c:lblOffset val="100"/>
        <c:noMultiLvlLbl val="0"/>
      </c:catAx>
      <c:valAx>
        <c:axId val="446414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4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627690288713911"/>
          <c:y val="0.79687445319335082"/>
          <c:w val="0.2726119860017498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238124</xdr:colOff>
      <xdr:row>16</xdr:row>
      <xdr:rowOff>33337</xdr:rowOff>
    </xdr:from>
    <xdr:ext cx="485775" cy="38055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CuadroTexto 1"/>
            <xdr:cNvSpPr txBox="1"/>
          </xdr:nvSpPr>
          <xdr:spPr>
            <a:xfrm>
              <a:off x="4810124" y="3081337"/>
              <a:ext cx="485775" cy="3805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lang="es-CO" sz="9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s-CO" sz="9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  <m:sup>
                        <m:r>
                          <a:rPr lang="es-CO" sz="9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r>
                          <a:rPr lang="es-CO" sz="900" b="0" i="1">
                            <a:latin typeface="Cambria Math" panose="02040503050406030204" pitchFamily="18" charset="0"/>
                          </a:rPr>
                          <m:t>𝐸</m:t>
                        </m:r>
                      </m:e>
                    </m:nary>
                    <m:sSub>
                      <m:sSubPr>
                        <m:ctrlPr>
                          <a:rPr lang="es-CO" sz="9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CO" sz="9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b>
                        <m:r>
                          <a:rPr lang="es-CO" sz="9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es-CO" sz="900"/>
            </a:p>
          </xdr:txBody>
        </xdr:sp>
      </mc:Choice>
      <mc:Fallback>
        <xdr:sp macro="" textlink="">
          <xdr:nvSpPr>
            <xdr:cNvPr id="2" name="CuadroTexto 1"/>
            <xdr:cNvSpPr txBox="1"/>
          </xdr:nvSpPr>
          <xdr:spPr>
            <a:xfrm>
              <a:off x="4810124" y="3081337"/>
              <a:ext cx="485775" cy="3805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900" i="0">
                  <a:latin typeface="Cambria Math" panose="02040503050406030204" pitchFamily="18" charset="0"/>
                </a:rPr>
                <a:t>∑</a:t>
              </a:r>
              <a:r>
                <a:rPr lang="es-CO" sz="900" b="0" i="0">
                  <a:latin typeface="Cambria Math" panose="02040503050406030204" pitchFamily="18" charset="0"/>
                </a:rPr>
                <a:t>_1^𝑛▒𝐸 𝑛_𝑖</a:t>
              </a:r>
              <a:endParaRPr lang="es-CO" sz="900"/>
            </a:p>
          </xdr:txBody>
        </xdr:sp>
      </mc:Fallback>
    </mc:AlternateContent>
    <xdr:clientData/>
  </xdr:oneCellAnchor>
  <xdr:twoCellAnchor>
    <xdr:from>
      <xdr:col>12</xdr:col>
      <xdr:colOff>571500</xdr:colOff>
      <xdr:row>21</xdr:row>
      <xdr:rowOff>147637</xdr:rowOff>
    </xdr:from>
    <xdr:to>
      <xdr:col>18</xdr:col>
      <xdr:colOff>571500</xdr:colOff>
      <xdr:row>34</xdr:row>
      <xdr:rowOff>42862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647700</xdr:colOff>
      <xdr:row>0</xdr:row>
      <xdr:rowOff>37764</xdr:rowOff>
    </xdr:from>
    <xdr:to>
      <xdr:col>18</xdr:col>
      <xdr:colOff>666750</xdr:colOff>
      <xdr:row>18</xdr:row>
      <xdr:rowOff>9525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0" y="37764"/>
          <a:ext cx="5353050" cy="38293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238124</xdr:colOff>
      <xdr:row>16</xdr:row>
      <xdr:rowOff>33337</xdr:rowOff>
    </xdr:from>
    <xdr:ext cx="485775" cy="3805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/>
            <xdr:cNvSpPr txBox="1"/>
          </xdr:nvSpPr>
          <xdr:spPr>
            <a:xfrm>
              <a:off x="2524124" y="3081337"/>
              <a:ext cx="485775" cy="3805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lang="es-CO" sz="9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s-CO" sz="9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  <m:sup>
                        <m:r>
                          <a:rPr lang="es-CO" sz="9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r>
                          <a:rPr lang="es-CO" sz="900" b="0" i="1">
                            <a:latin typeface="Cambria Math" panose="02040503050406030204" pitchFamily="18" charset="0"/>
                          </a:rPr>
                          <m:t>𝐸</m:t>
                        </m:r>
                      </m:e>
                    </m:nary>
                    <m:sSub>
                      <m:sSubPr>
                        <m:ctrlPr>
                          <a:rPr lang="es-CO" sz="9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CO" sz="9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b>
                        <m:r>
                          <a:rPr lang="es-CO" sz="9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es-CO" sz="900"/>
            </a:p>
          </xdr:txBody>
        </xdr:sp>
      </mc:Choice>
      <mc:Fallback xmlns="">
        <xdr:sp macro="" textlink="">
          <xdr:nvSpPr>
            <xdr:cNvPr id="2" name="CuadroTexto 1"/>
            <xdr:cNvSpPr txBox="1"/>
          </xdr:nvSpPr>
          <xdr:spPr>
            <a:xfrm>
              <a:off x="2524124" y="3081337"/>
              <a:ext cx="485775" cy="3805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900" i="0">
                  <a:latin typeface="Cambria Math" panose="02040503050406030204" pitchFamily="18" charset="0"/>
                </a:rPr>
                <a:t>∑</a:t>
              </a:r>
              <a:r>
                <a:rPr lang="es-CO" sz="900" b="0" i="0">
                  <a:latin typeface="Cambria Math" panose="02040503050406030204" pitchFamily="18" charset="0"/>
                </a:rPr>
                <a:t>_1^𝑛▒𝐸 𝑛_𝑖</a:t>
              </a:r>
              <a:endParaRPr lang="es-CO" sz="900"/>
            </a:p>
          </xdr:txBody>
        </xdr:sp>
      </mc:Fallback>
    </mc:AlternateContent>
    <xdr:clientData/>
  </xdr:oneCellAnchor>
  <xdr:twoCellAnchor editAs="oneCell">
    <xdr:from>
      <xdr:col>11</xdr:col>
      <xdr:colOff>180975</xdr:colOff>
      <xdr:row>1</xdr:row>
      <xdr:rowOff>19050</xdr:rowOff>
    </xdr:from>
    <xdr:to>
      <xdr:col>18</xdr:col>
      <xdr:colOff>459105</xdr:colOff>
      <xdr:row>19</xdr:row>
      <xdr:rowOff>2540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1775" y="209550"/>
          <a:ext cx="5612130" cy="4022090"/>
        </a:xfrm>
        <a:prstGeom prst="rect">
          <a:avLst/>
        </a:prstGeom>
        <a:noFill/>
        <a:ln>
          <a:solidFill>
            <a:schemeClr val="tx1"/>
          </a:solidFill>
        </a:ln>
      </xdr:spPr>
    </xdr:pic>
    <xdr:clientData/>
  </xdr:twoCellAnchor>
  <xdr:twoCellAnchor>
    <xdr:from>
      <xdr:col>12</xdr:col>
      <xdr:colOff>571500</xdr:colOff>
      <xdr:row>21</xdr:row>
      <xdr:rowOff>147637</xdr:rowOff>
    </xdr:from>
    <xdr:to>
      <xdr:col>18</xdr:col>
      <xdr:colOff>571500</xdr:colOff>
      <xdr:row>34</xdr:row>
      <xdr:rowOff>42862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238124</xdr:colOff>
      <xdr:row>16</xdr:row>
      <xdr:rowOff>33337</xdr:rowOff>
    </xdr:from>
    <xdr:ext cx="485775" cy="3805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/>
            <xdr:cNvSpPr txBox="1"/>
          </xdr:nvSpPr>
          <xdr:spPr>
            <a:xfrm>
              <a:off x="4810124" y="3081337"/>
              <a:ext cx="485775" cy="3805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lang="es-CO" sz="9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s-CO" sz="9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  <m:sup>
                        <m:r>
                          <a:rPr lang="es-CO" sz="9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r>
                          <a:rPr lang="es-CO" sz="900" b="0" i="1">
                            <a:latin typeface="Cambria Math" panose="02040503050406030204" pitchFamily="18" charset="0"/>
                          </a:rPr>
                          <m:t>𝐸</m:t>
                        </m:r>
                      </m:e>
                    </m:nary>
                    <m:sSub>
                      <m:sSubPr>
                        <m:ctrlPr>
                          <a:rPr lang="es-CO" sz="9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CO" sz="9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b>
                        <m:r>
                          <a:rPr lang="es-CO" sz="9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es-CO" sz="900"/>
            </a:p>
          </xdr:txBody>
        </xdr:sp>
      </mc:Choice>
      <mc:Fallback xmlns="">
        <xdr:sp macro="" textlink="">
          <xdr:nvSpPr>
            <xdr:cNvPr id="2" name="CuadroTexto 1"/>
            <xdr:cNvSpPr txBox="1"/>
          </xdr:nvSpPr>
          <xdr:spPr>
            <a:xfrm>
              <a:off x="4810124" y="3081337"/>
              <a:ext cx="485775" cy="3805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900" i="0">
                  <a:latin typeface="Cambria Math" panose="02040503050406030204" pitchFamily="18" charset="0"/>
                </a:rPr>
                <a:t>∑</a:t>
              </a:r>
              <a:r>
                <a:rPr lang="es-CO" sz="900" b="0" i="0">
                  <a:latin typeface="Cambria Math" panose="02040503050406030204" pitchFamily="18" charset="0"/>
                </a:rPr>
                <a:t>_1^𝑛▒𝐸 𝑛_𝑖</a:t>
              </a:r>
              <a:endParaRPr lang="es-CO" sz="900"/>
            </a:p>
          </xdr:txBody>
        </xdr:sp>
      </mc:Fallback>
    </mc:AlternateContent>
    <xdr:clientData/>
  </xdr:oneCellAnchor>
  <xdr:twoCellAnchor editAs="oneCell">
    <xdr:from>
      <xdr:col>11</xdr:col>
      <xdr:colOff>219075</xdr:colOff>
      <xdr:row>1</xdr:row>
      <xdr:rowOff>114300</xdr:rowOff>
    </xdr:from>
    <xdr:to>
      <xdr:col>18</xdr:col>
      <xdr:colOff>497205</xdr:colOff>
      <xdr:row>19</xdr:row>
      <xdr:rowOff>97790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9875" y="304800"/>
          <a:ext cx="5612130" cy="4022090"/>
        </a:xfrm>
        <a:prstGeom prst="rect">
          <a:avLst/>
        </a:prstGeom>
        <a:noFill/>
        <a:ln>
          <a:solidFill>
            <a:schemeClr val="tx1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238124</xdr:colOff>
      <xdr:row>16</xdr:row>
      <xdr:rowOff>33337</xdr:rowOff>
    </xdr:from>
    <xdr:ext cx="485775" cy="3805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/>
            <xdr:cNvSpPr txBox="1"/>
          </xdr:nvSpPr>
          <xdr:spPr>
            <a:xfrm>
              <a:off x="2524124" y="3081337"/>
              <a:ext cx="485775" cy="3805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lang="es-CO" sz="9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s-CO" sz="9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  <m:sup>
                        <m:r>
                          <a:rPr lang="es-CO" sz="9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r>
                          <a:rPr lang="es-CO" sz="900" b="0" i="1">
                            <a:latin typeface="Cambria Math" panose="02040503050406030204" pitchFamily="18" charset="0"/>
                          </a:rPr>
                          <m:t>𝐸</m:t>
                        </m:r>
                      </m:e>
                    </m:nary>
                    <m:sSub>
                      <m:sSubPr>
                        <m:ctrlPr>
                          <a:rPr lang="es-CO" sz="9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CO" sz="9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b>
                        <m:r>
                          <a:rPr lang="es-CO" sz="9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es-CO" sz="900"/>
            </a:p>
          </xdr:txBody>
        </xdr:sp>
      </mc:Choice>
      <mc:Fallback xmlns="">
        <xdr:sp macro="" textlink="">
          <xdr:nvSpPr>
            <xdr:cNvPr id="2" name="CuadroTexto 1"/>
            <xdr:cNvSpPr txBox="1"/>
          </xdr:nvSpPr>
          <xdr:spPr>
            <a:xfrm>
              <a:off x="2524124" y="3081337"/>
              <a:ext cx="485775" cy="3805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CO" sz="900" i="0">
                  <a:latin typeface="Cambria Math" panose="02040503050406030204" pitchFamily="18" charset="0"/>
                </a:rPr>
                <a:t>∑24_</a:t>
              </a:r>
              <a:r>
                <a:rPr lang="es-CO" sz="900" b="0" i="0">
                  <a:latin typeface="Cambria Math" panose="02040503050406030204" pitchFamily="18" charset="0"/>
                </a:rPr>
                <a:t>1^𝑛▒𝐸 𝑛_𝑖</a:t>
              </a:r>
              <a:endParaRPr lang="es-CO" sz="9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R50"/>
  <sheetViews>
    <sheetView tabSelected="1" topLeftCell="D1" workbookViewId="0">
      <selection activeCell="L7" sqref="L7"/>
    </sheetView>
  </sheetViews>
  <sheetFormatPr baseColWidth="10" defaultRowHeight="15" x14ac:dyDescent="0.25"/>
  <cols>
    <col min="1" max="6" width="11.42578125" style="33"/>
    <col min="7" max="7" width="18.28515625" style="33" customWidth="1"/>
    <col min="8" max="10" width="15.85546875" style="33" customWidth="1"/>
    <col min="11" max="11" width="18.7109375" style="33" customWidth="1"/>
    <col min="12" max="16384" width="11.42578125" style="33"/>
  </cols>
  <sheetData>
    <row r="1" spans="6:11" x14ac:dyDescent="0.25">
      <c r="G1" s="34"/>
      <c r="H1" s="34"/>
      <c r="I1" s="34"/>
      <c r="J1" s="34"/>
      <c r="K1" s="34"/>
    </row>
    <row r="2" spans="6:11" x14ac:dyDescent="0.25">
      <c r="G2" s="34"/>
      <c r="H2" s="35" t="s">
        <v>0</v>
      </c>
      <c r="I2" s="35"/>
      <c r="J2" s="35"/>
      <c r="K2" s="35"/>
    </row>
    <row r="3" spans="6:11" x14ac:dyDescent="0.25">
      <c r="G3" s="36" t="s">
        <v>5</v>
      </c>
      <c r="H3" s="36" t="s">
        <v>1</v>
      </c>
      <c r="I3" s="36" t="s">
        <v>2</v>
      </c>
      <c r="J3" s="36" t="s">
        <v>3</v>
      </c>
      <c r="K3" s="36" t="s">
        <v>4</v>
      </c>
    </row>
    <row r="4" spans="6:11" x14ac:dyDescent="0.25">
      <c r="F4" s="33" t="s">
        <v>36</v>
      </c>
      <c r="G4" s="37">
        <v>1</v>
      </c>
      <c r="H4" s="38">
        <v>21</v>
      </c>
      <c r="I4" s="39">
        <v>0</v>
      </c>
      <c r="J4" s="40">
        <v>19</v>
      </c>
      <c r="K4" s="40">
        <v>6</v>
      </c>
    </row>
    <row r="5" spans="6:11" x14ac:dyDescent="0.25">
      <c r="G5" s="37">
        <v>2</v>
      </c>
      <c r="H5" s="38">
        <v>5</v>
      </c>
      <c r="I5" s="39">
        <v>0</v>
      </c>
      <c r="J5" s="39">
        <v>0</v>
      </c>
      <c r="K5" s="37">
        <v>0</v>
      </c>
    </row>
    <row r="6" spans="6:11" x14ac:dyDescent="0.25">
      <c r="G6" s="37">
        <v>3</v>
      </c>
      <c r="H6" s="39">
        <v>0</v>
      </c>
      <c r="I6" s="39">
        <v>0</v>
      </c>
      <c r="J6" s="39">
        <v>0</v>
      </c>
      <c r="K6" s="37">
        <v>0</v>
      </c>
    </row>
    <row r="7" spans="6:11" x14ac:dyDescent="0.25">
      <c r="G7" s="37">
        <v>4</v>
      </c>
      <c r="H7" s="38">
        <v>17</v>
      </c>
      <c r="I7" s="40">
        <v>0</v>
      </c>
      <c r="J7" s="37">
        <v>0</v>
      </c>
      <c r="K7" s="37">
        <v>0</v>
      </c>
    </row>
    <row r="8" spans="6:11" x14ac:dyDescent="0.25">
      <c r="G8" s="37">
        <v>5</v>
      </c>
      <c r="H8" s="40">
        <v>2</v>
      </c>
      <c r="I8" s="40">
        <v>4</v>
      </c>
      <c r="J8" s="37">
        <v>0</v>
      </c>
      <c r="K8" s="37">
        <v>0</v>
      </c>
    </row>
    <row r="9" spans="6:11" x14ac:dyDescent="0.25">
      <c r="G9" s="37">
        <v>6</v>
      </c>
      <c r="H9" s="40">
        <v>5</v>
      </c>
      <c r="I9" s="37">
        <v>0</v>
      </c>
      <c r="J9" s="37">
        <v>0</v>
      </c>
      <c r="K9" s="37">
        <v>0</v>
      </c>
    </row>
    <row r="10" spans="6:11" x14ac:dyDescent="0.25">
      <c r="G10" s="37">
        <v>7</v>
      </c>
      <c r="H10" s="41">
        <v>18</v>
      </c>
      <c r="I10" s="37">
        <v>0</v>
      </c>
      <c r="J10" s="37">
        <v>0</v>
      </c>
      <c r="K10" s="37">
        <v>0</v>
      </c>
    </row>
    <row r="11" spans="6:11" x14ac:dyDescent="0.25">
      <c r="G11" s="37">
        <v>8</v>
      </c>
      <c r="H11" s="37">
        <v>0</v>
      </c>
      <c r="I11" s="37">
        <v>0</v>
      </c>
      <c r="J11" s="37">
        <v>0</v>
      </c>
      <c r="K11" s="37">
        <v>0</v>
      </c>
    </row>
    <row r="12" spans="6:11" x14ac:dyDescent="0.25">
      <c r="G12" s="37">
        <v>9</v>
      </c>
      <c r="H12" s="37">
        <v>0</v>
      </c>
      <c r="I12" s="37">
        <v>0</v>
      </c>
      <c r="J12" s="37">
        <v>0</v>
      </c>
      <c r="K12" s="37">
        <v>0</v>
      </c>
    </row>
    <row r="13" spans="6:11" x14ac:dyDescent="0.25">
      <c r="G13" s="37">
        <v>10</v>
      </c>
      <c r="H13" s="42">
        <v>1</v>
      </c>
      <c r="I13" s="37">
        <v>0</v>
      </c>
      <c r="J13" s="37">
        <v>0</v>
      </c>
      <c r="K13" s="37">
        <v>0</v>
      </c>
    </row>
    <row r="14" spans="6:11" x14ac:dyDescent="0.25">
      <c r="G14" s="37">
        <v>11</v>
      </c>
      <c r="H14" s="39">
        <v>0</v>
      </c>
      <c r="I14" s="37">
        <v>0</v>
      </c>
      <c r="J14" s="37">
        <v>0</v>
      </c>
      <c r="K14" s="37">
        <v>0</v>
      </c>
    </row>
    <row r="15" spans="6:11" x14ac:dyDescent="0.25">
      <c r="G15" s="37">
        <v>12</v>
      </c>
      <c r="H15" s="40">
        <v>7</v>
      </c>
      <c r="I15" s="37">
        <v>0</v>
      </c>
      <c r="J15" s="37">
        <v>0</v>
      </c>
      <c r="K15" s="37">
        <v>0</v>
      </c>
    </row>
    <row r="16" spans="6:11" x14ac:dyDescent="0.25">
      <c r="G16" s="37">
        <v>13</v>
      </c>
      <c r="H16" s="40">
        <v>1</v>
      </c>
      <c r="I16" s="37">
        <v>0</v>
      </c>
      <c r="J16" s="37">
        <v>0</v>
      </c>
      <c r="K16" s="37">
        <v>0</v>
      </c>
    </row>
    <row r="17" spans="4:18" ht="34.5" customHeight="1" x14ac:dyDescent="0.25">
      <c r="G17" s="43"/>
      <c r="H17" s="43">
        <f>SUM(H4:H16)</f>
        <v>77</v>
      </c>
      <c r="I17" s="43">
        <f t="shared" ref="I17:K17" si="0">SUM(I4:I16)</f>
        <v>4</v>
      </c>
      <c r="J17" s="43">
        <f t="shared" si="0"/>
        <v>19</v>
      </c>
      <c r="K17" s="43">
        <f t="shared" si="0"/>
        <v>6</v>
      </c>
      <c r="L17" s="44"/>
    </row>
    <row r="18" spans="4:18" ht="29.25" customHeight="1" x14ac:dyDescent="0.25">
      <c r="D18" s="34"/>
      <c r="E18" s="45" t="s">
        <v>14</v>
      </c>
      <c r="F18" s="45" t="s">
        <v>10</v>
      </c>
      <c r="G18" s="43" t="s">
        <v>6</v>
      </c>
      <c r="H18" s="43">
        <v>8</v>
      </c>
      <c r="I18" s="43">
        <v>1</v>
      </c>
      <c r="J18" s="43">
        <v>1</v>
      </c>
      <c r="K18" s="43">
        <v>1</v>
      </c>
      <c r="L18" s="44"/>
    </row>
    <row r="19" spans="4:18" ht="29.25" customHeight="1" x14ac:dyDescent="0.25">
      <c r="D19" s="46" t="s">
        <v>7</v>
      </c>
      <c r="E19" s="47">
        <f>2468107+3251487+1420054+1100623*4</f>
        <v>11542140</v>
      </c>
      <c r="F19" s="47">
        <f>E19/7</f>
        <v>1648877.142857143</v>
      </c>
      <c r="G19" s="43" t="s">
        <v>11</v>
      </c>
      <c r="H19" s="43">
        <f>+H5+H9+H10</f>
        <v>28</v>
      </c>
      <c r="I19" s="43">
        <f>+I4+I6+I7</f>
        <v>0</v>
      </c>
      <c r="J19" s="43">
        <f>+J5</f>
        <v>0</v>
      </c>
      <c r="K19" s="43">
        <v>0</v>
      </c>
      <c r="L19" s="44"/>
    </row>
    <row r="20" spans="4:18" ht="29.25" customHeight="1" x14ac:dyDescent="0.25">
      <c r="D20" s="48" t="s">
        <v>8</v>
      </c>
      <c r="E20" s="47">
        <f>1478953*4+1784562</f>
        <v>7700374</v>
      </c>
      <c r="F20" s="47">
        <f>E20/5</f>
        <v>1540074.8</v>
      </c>
      <c r="G20" s="43" t="s">
        <v>12</v>
      </c>
      <c r="H20" s="43">
        <f>+H4+H6+H7+H8+H15+H16</f>
        <v>48</v>
      </c>
      <c r="I20" s="43">
        <f>+I5+I8+I9</f>
        <v>4</v>
      </c>
      <c r="J20" s="43">
        <f>+J4+J6</f>
        <v>19</v>
      </c>
      <c r="K20" s="43">
        <f>+K4</f>
        <v>6</v>
      </c>
      <c r="L20" s="44"/>
      <c r="N20" s="36" t="s">
        <v>32</v>
      </c>
      <c r="O20" s="36" t="s">
        <v>1</v>
      </c>
      <c r="P20" s="36" t="s">
        <v>2</v>
      </c>
      <c r="Q20" s="36" t="s">
        <v>3</v>
      </c>
      <c r="R20" s="36" t="s">
        <v>4</v>
      </c>
    </row>
    <row r="21" spans="4:18" ht="29.25" customHeight="1" x14ac:dyDescent="0.25">
      <c r="D21" s="49" t="s">
        <v>9</v>
      </c>
      <c r="E21" s="47">
        <f>1163000*4</f>
        <v>4652000</v>
      </c>
      <c r="F21" s="47">
        <f>E21/4</f>
        <v>1163000</v>
      </c>
      <c r="G21" s="43" t="s">
        <v>13</v>
      </c>
      <c r="H21" s="43">
        <f>+H11+H12+H13+H14</f>
        <v>1</v>
      </c>
      <c r="I21" s="43">
        <v>0</v>
      </c>
      <c r="J21" s="43">
        <v>0</v>
      </c>
      <c r="K21" s="43">
        <v>0</v>
      </c>
      <c r="L21" s="44"/>
      <c r="N21" s="37">
        <f>SUM(H17:K17)</f>
        <v>106</v>
      </c>
      <c r="O21" s="50">
        <f>+H17/$N$21</f>
        <v>0.72641509433962259</v>
      </c>
      <c r="P21" s="50">
        <f t="shared" ref="P21:R21" si="1">+I17/$N$21</f>
        <v>3.7735849056603772E-2</v>
      </c>
      <c r="Q21" s="50">
        <f t="shared" si="1"/>
        <v>0.17924528301886791</v>
      </c>
      <c r="R21" s="50">
        <f t="shared" si="1"/>
        <v>5.6603773584905662E-2</v>
      </c>
    </row>
    <row r="22" spans="4:18" x14ac:dyDescent="0.25">
      <c r="E22" s="51">
        <f>SUM(E19:E21)</f>
        <v>23894514</v>
      </c>
      <c r="F22" s="51">
        <f>AVERAGE(F19:F21)</f>
        <v>1450650.6476190474</v>
      </c>
      <c r="G22" s="34"/>
      <c r="H22" s="34"/>
      <c r="I22" s="34"/>
      <c r="J22" s="34"/>
      <c r="K22" s="34"/>
    </row>
    <row r="23" spans="4:18" ht="30.75" customHeight="1" x14ac:dyDescent="0.25">
      <c r="G23" s="34"/>
      <c r="H23" s="52" t="s">
        <v>15</v>
      </c>
      <c r="I23" s="52" t="s">
        <v>33</v>
      </c>
      <c r="J23" s="52" t="s">
        <v>17</v>
      </c>
      <c r="K23" s="52" t="s">
        <v>18</v>
      </c>
      <c r="L23" s="52" t="s">
        <v>19</v>
      </c>
    </row>
    <row r="24" spans="4:18" x14ac:dyDescent="0.25">
      <c r="G24" s="53" t="s">
        <v>7</v>
      </c>
      <c r="H24" s="54">
        <f>+$F$19/(H19*30)</f>
        <v>1962.9489795918369</v>
      </c>
      <c r="I24" s="54">
        <v>0</v>
      </c>
      <c r="J24" s="54">
        <v>0</v>
      </c>
      <c r="K24" s="55">
        <v>0</v>
      </c>
      <c r="L24" s="56">
        <f>SUM(H24:K24)</f>
        <v>1962.9489795918369</v>
      </c>
    </row>
    <row r="25" spans="4:18" x14ac:dyDescent="0.25">
      <c r="G25" s="53" t="s">
        <v>8</v>
      </c>
      <c r="H25" s="54">
        <f>+$F$20/(H20*30)</f>
        <v>1069.496388888889</v>
      </c>
      <c r="I25" s="54">
        <f t="shared" ref="I25:K25" si="2">+$F$20/(I20*30)</f>
        <v>12833.956666666667</v>
      </c>
      <c r="J25" s="54">
        <f t="shared" si="2"/>
        <v>2701.8856140350877</v>
      </c>
      <c r="K25" s="55">
        <f t="shared" si="2"/>
        <v>8555.9711111111119</v>
      </c>
      <c r="L25" s="56">
        <f t="shared" ref="L25:L26" si="3">SUM(H25:K25)</f>
        <v>25161.309780701755</v>
      </c>
    </row>
    <row r="26" spans="4:18" x14ac:dyDescent="0.25">
      <c r="G26" s="53" t="s">
        <v>9</v>
      </c>
      <c r="H26" s="54">
        <f>+$F$21/(H21*30)</f>
        <v>38766.666666666664</v>
      </c>
      <c r="I26" s="54">
        <v>0</v>
      </c>
      <c r="J26" s="54">
        <v>0</v>
      </c>
      <c r="K26" s="55">
        <v>0</v>
      </c>
      <c r="L26" s="56">
        <f t="shared" si="3"/>
        <v>38766.666666666664</v>
      </c>
    </row>
    <row r="27" spans="4:18" x14ac:dyDescent="0.25">
      <c r="H27" s="57"/>
      <c r="I27" s="57"/>
      <c r="J27" s="58" t="s">
        <v>20</v>
      </c>
      <c r="K27" s="58"/>
      <c r="L27" s="56">
        <f>SUM(L24:L26)</f>
        <v>65890.925426960253</v>
      </c>
    </row>
    <row r="28" spans="4:18" x14ac:dyDescent="0.25">
      <c r="H28" s="59"/>
    </row>
    <row r="30" spans="4:18" ht="28.5" customHeight="1" x14ac:dyDescent="0.25">
      <c r="I30" s="60" t="s">
        <v>21</v>
      </c>
      <c r="J30" s="60" t="s">
        <v>25</v>
      </c>
      <c r="K30" s="60" t="s">
        <v>29</v>
      </c>
      <c r="L30" s="60" t="s">
        <v>30</v>
      </c>
    </row>
    <row r="31" spans="4:18" x14ac:dyDescent="0.25">
      <c r="H31" s="61" t="s">
        <v>22</v>
      </c>
      <c r="I31" s="47" t="s">
        <v>26</v>
      </c>
      <c r="J31" s="47">
        <f>401278</f>
        <v>401278</v>
      </c>
      <c r="K31" s="62">
        <v>0.68</v>
      </c>
      <c r="L31" s="47">
        <f>+J31*K31</f>
        <v>272869.04000000004</v>
      </c>
      <c r="M31" s="63"/>
    </row>
    <row r="32" spans="4:18" x14ac:dyDescent="0.25">
      <c r="H32" s="61" t="s">
        <v>23</v>
      </c>
      <c r="I32" s="47" t="s">
        <v>27</v>
      </c>
      <c r="J32" s="47">
        <f>1264874/12</f>
        <v>105406.16666666667</v>
      </c>
      <c r="K32" s="62">
        <v>0.93</v>
      </c>
      <c r="L32" s="47">
        <f t="shared" ref="L32:L33" si="4">+J32*K32</f>
        <v>98027.735000000015</v>
      </c>
      <c r="M32" s="63"/>
    </row>
    <row r="33" spans="7:13" x14ac:dyDescent="0.25">
      <c r="H33" s="61" t="s">
        <v>24</v>
      </c>
      <c r="I33" s="47" t="s">
        <v>28</v>
      </c>
      <c r="J33" s="47">
        <f>+L27</f>
        <v>65890.925426960253</v>
      </c>
      <c r="K33" s="62">
        <v>1</v>
      </c>
      <c r="L33" s="47">
        <f t="shared" si="4"/>
        <v>65890.925426960253</v>
      </c>
      <c r="M33" s="63"/>
    </row>
    <row r="34" spans="7:13" x14ac:dyDescent="0.25">
      <c r="J34" s="63"/>
      <c r="K34" s="64" t="s">
        <v>31</v>
      </c>
      <c r="L34" s="65">
        <f>SUM(L31:L33)</f>
        <v>436787.70042696025</v>
      </c>
      <c r="M34" s="63"/>
    </row>
    <row r="35" spans="7:13" x14ac:dyDescent="0.25">
      <c r="H35" s="63"/>
      <c r="I35" s="63"/>
      <c r="J35" s="63"/>
      <c r="K35" s="63"/>
      <c r="L35" s="63"/>
      <c r="M35" s="63"/>
    </row>
    <row r="36" spans="7:13" x14ac:dyDescent="0.25">
      <c r="H36" s="63"/>
      <c r="I36" s="63"/>
      <c r="J36" s="63"/>
      <c r="K36" s="63">
        <f>(L34/30)/45.4</f>
        <v>320.69581529145393</v>
      </c>
      <c r="L36" s="63" t="s">
        <v>39</v>
      </c>
      <c r="M36" s="63"/>
    </row>
    <row r="37" spans="7:13" x14ac:dyDescent="0.25">
      <c r="H37" s="63"/>
      <c r="I37" s="63"/>
      <c r="J37" s="63"/>
      <c r="K37" s="63"/>
      <c r="L37" s="63"/>
      <c r="M37" s="63"/>
    </row>
    <row r="38" spans="7:13" x14ac:dyDescent="0.25">
      <c r="H38" s="63"/>
      <c r="I38" s="63"/>
      <c r="J38" s="63"/>
      <c r="K38" s="63"/>
      <c r="L38" s="63"/>
      <c r="M38" s="63"/>
    </row>
    <row r="39" spans="7:13" ht="30" x14ac:dyDescent="0.25">
      <c r="H39" s="52" t="s">
        <v>15</v>
      </c>
      <c r="I39" s="52" t="s">
        <v>33</v>
      </c>
      <c r="J39" s="52" t="s">
        <v>17</v>
      </c>
      <c r="K39" s="52" t="s">
        <v>18</v>
      </c>
      <c r="L39" s="52" t="s">
        <v>19</v>
      </c>
    </row>
    <row r="40" spans="7:13" x14ac:dyDescent="0.25">
      <c r="G40" s="53" t="s">
        <v>7</v>
      </c>
      <c r="H40" s="54">
        <f>+H24</f>
        <v>1962.9489795918369</v>
      </c>
      <c r="I40" s="54">
        <f t="shared" ref="I40:K40" si="5">+I24</f>
        <v>0</v>
      </c>
      <c r="J40" s="54">
        <f t="shared" si="5"/>
        <v>0</v>
      </c>
      <c r="K40" s="54">
        <f t="shared" si="5"/>
        <v>0</v>
      </c>
      <c r="L40" s="56">
        <f>SUM(H40:K40)</f>
        <v>1962.9489795918369</v>
      </c>
    </row>
    <row r="41" spans="7:13" x14ac:dyDescent="0.25">
      <c r="G41" s="53" t="s">
        <v>8</v>
      </c>
      <c r="H41" s="54">
        <f t="shared" ref="H41:K42" si="6">+H25</f>
        <v>1069.496388888889</v>
      </c>
      <c r="I41" s="54">
        <f t="shared" si="6"/>
        <v>12833.956666666667</v>
      </c>
      <c r="J41" s="54">
        <f t="shared" si="6"/>
        <v>2701.8856140350877</v>
      </c>
      <c r="K41" s="54">
        <f t="shared" si="6"/>
        <v>8555.9711111111119</v>
      </c>
      <c r="L41" s="56">
        <f t="shared" ref="L41:L42" si="7">SUM(H41:K41)</f>
        <v>25161.309780701755</v>
      </c>
    </row>
    <row r="42" spans="7:13" x14ac:dyDescent="0.25">
      <c r="G42" s="53" t="s">
        <v>9</v>
      </c>
      <c r="H42" s="54">
        <f t="shared" si="6"/>
        <v>38766.666666666664</v>
      </c>
      <c r="I42" s="54">
        <f t="shared" si="6"/>
        <v>0</v>
      </c>
      <c r="J42" s="54">
        <f t="shared" si="6"/>
        <v>0</v>
      </c>
      <c r="K42" s="54">
        <f t="shared" si="6"/>
        <v>0</v>
      </c>
      <c r="L42" s="56">
        <f t="shared" si="7"/>
        <v>38766.666666666664</v>
      </c>
    </row>
    <row r="43" spans="7:13" x14ac:dyDescent="0.25">
      <c r="G43" s="53" t="s">
        <v>34</v>
      </c>
      <c r="H43" s="56">
        <f>SUM(H40:H42)</f>
        <v>41799.112035147387</v>
      </c>
      <c r="I43" s="56">
        <f t="shared" ref="I43:K43" si="8">SUM(I40:I42)</f>
        <v>12833.956666666667</v>
      </c>
      <c r="J43" s="56">
        <f t="shared" si="8"/>
        <v>2701.8856140350877</v>
      </c>
      <c r="K43" s="56">
        <f t="shared" si="8"/>
        <v>8555.9711111111119</v>
      </c>
      <c r="L43" s="56">
        <f>SUM(L40:L42)</f>
        <v>65890.925426960253</v>
      </c>
    </row>
    <row r="44" spans="7:13" x14ac:dyDescent="0.25">
      <c r="G44" s="53" t="s">
        <v>35</v>
      </c>
      <c r="H44" s="66">
        <f>H43/$L$43</f>
        <v>0.63436826489076226</v>
      </c>
      <c r="I44" s="66">
        <f t="shared" ref="I44:K44" si="9">I43/$L$43</f>
        <v>0.1947757841236126</v>
      </c>
      <c r="J44" s="66">
        <f t="shared" si="9"/>
        <v>4.1005428236550019E-2</v>
      </c>
      <c r="K44" s="66">
        <f t="shared" si="9"/>
        <v>0.12985052274907508</v>
      </c>
      <c r="L44" s="61"/>
    </row>
    <row r="48" spans="7:13" x14ac:dyDescent="0.25">
      <c r="K48" s="33" t="s">
        <v>37</v>
      </c>
      <c r="L48" s="67">
        <v>455327.87410129874</v>
      </c>
    </row>
    <row r="49" spans="11:12" x14ac:dyDescent="0.25">
      <c r="K49" s="33" t="s">
        <v>38</v>
      </c>
      <c r="L49" s="59">
        <f>+L34</f>
        <v>436787.70042696025</v>
      </c>
    </row>
    <row r="50" spans="11:12" x14ac:dyDescent="0.25">
      <c r="L50" s="68">
        <f>(L48-L49)/L48</f>
        <v>4.0718292748784767E-2</v>
      </c>
    </row>
  </sheetData>
  <mergeCells count="2">
    <mergeCell ref="H2:K2"/>
    <mergeCell ref="J27:K2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R44"/>
  <sheetViews>
    <sheetView topLeftCell="A22" workbookViewId="0">
      <selection activeCell="L27" sqref="L27"/>
    </sheetView>
  </sheetViews>
  <sheetFormatPr baseColWidth="10" defaultRowHeight="15" x14ac:dyDescent="0.25"/>
  <cols>
    <col min="7" max="7" width="18.28515625" customWidth="1"/>
    <col min="8" max="10" width="15.85546875" customWidth="1"/>
    <col min="11" max="11" width="18.7109375" customWidth="1"/>
  </cols>
  <sheetData>
    <row r="1" spans="7:11" x14ac:dyDescent="0.25">
      <c r="G1" s="1"/>
      <c r="H1" s="1"/>
      <c r="I1" s="1"/>
      <c r="J1" s="1"/>
      <c r="K1" s="1"/>
    </row>
    <row r="2" spans="7:11" x14ac:dyDescent="0.25">
      <c r="G2" s="1"/>
      <c r="H2" s="31" t="s">
        <v>0</v>
      </c>
      <c r="I2" s="31"/>
      <c r="J2" s="31"/>
      <c r="K2" s="31"/>
    </row>
    <row r="3" spans="7:11" x14ac:dyDescent="0.25">
      <c r="G3" s="3" t="s">
        <v>5</v>
      </c>
      <c r="H3" s="3" t="s">
        <v>1</v>
      </c>
      <c r="I3" s="3" t="s">
        <v>2</v>
      </c>
      <c r="J3" s="3" t="s">
        <v>3</v>
      </c>
      <c r="K3" s="3" t="s">
        <v>4</v>
      </c>
    </row>
    <row r="4" spans="7:11" x14ac:dyDescent="0.25">
      <c r="G4" s="2">
        <v>1</v>
      </c>
      <c r="H4" s="6">
        <v>16</v>
      </c>
      <c r="I4" s="7">
        <v>5</v>
      </c>
      <c r="J4" s="6">
        <v>23</v>
      </c>
      <c r="K4" s="6">
        <v>6</v>
      </c>
    </row>
    <row r="5" spans="7:11" x14ac:dyDescent="0.25">
      <c r="G5" s="2">
        <v>2</v>
      </c>
      <c r="H5" s="7">
        <v>1</v>
      </c>
      <c r="I5" s="6">
        <v>7</v>
      </c>
      <c r="J5" s="7">
        <v>1</v>
      </c>
      <c r="K5" s="2">
        <v>0</v>
      </c>
    </row>
    <row r="6" spans="7:11" x14ac:dyDescent="0.25">
      <c r="G6" s="2">
        <v>3</v>
      </c>
      <c r="H6" s="6">
        <v>2</v>
      </c>
      <c r="I6" s="7">
        <v>1</v>
      </c>
      <c r="J6" s="6">
        <v>2</v>
      </c>
      <c r="K6" s="2">
        <v>0</v>
      </c>
    </row>
    <row r="7" spans="7:11" x14ac:dyDescent="0.25">
      <c r="G7" s="2">
        <v>4</v>
      </c>
      <c r="H7" s="6">
        <v>15</v>
      </c>
      <c r="I7" s="7">
        <v>2</v>
      </c>
      <c r="J7" s="2">
        <v>0</v>
      </c>
      <c r="K7" s="2">
        <v>0</v>
      </c>
    </row>
    <row r="8" spans="7:11" x14ac:dyDescent="0.25">
      <c r="G8" s="2">
        <v>5</v>
      </c>
      <c r="H8" s="6">
        <v>2</v>
      </c>
      <c r="I8" s="6">
        <v>4</v>
      </c>
      <c r="J8" s="2">
        <v>0</v>
      </c>
      <c r="K8" s="2">
        <v>0</v>
      </c>
    </row>
    <row r="9" spans="7:11" x14ac:dyDescent="0.25">
      <c r="G9" s="2">
        <v>6</v>
      </c>
      <c r="H9" s="7">
        <v>4</v>
      </c>
      <c r="I9" s="6">
        <v>4</v>
      </c>
      <c r="J9" s="2">
        <v>0</v>
      </c>
      <c r="K9" s="2">
        <v>0</v>
      </c>
    </row>
    <row r="10" spans="7:11" x14ac:dyDescent="0.25">
      <c r="G10" s="2">
        <v>7</v>
      </c>
      <c r="H10" s="7">
        <v>17</v>
      </c>
      <c r="I10" s="2">
        <v>0</v>
      </c>
      <c r="J10" s="2">
        <v>0</v>
      </c>
      <c r="K10" s="2">
        <v>0</v>
      </c>
    </row>
    <row r="11" spans="7:11" x14ac:dyDescent="0.25">
      <c r="G11" s="2">
        <v>8</v>
      </c>
      <c r="H11" s="8">
        <v>1</v>
      </c>
      <c r="I11" s="2">
        <v>0</v>
      </c>
      <c r="J11" s="2">
        <v>0</v>
      </c>
      <c r="K11" s="2">
        <v>0</v>
      </c>
    </row>
    <row r="12" spans="7:11" x14ac:dyDescent="0.25">
      <c r="G12" s="2">
        <v>9</v>
      </c>
      <c r="H12" s="8">
        <v>3</v>
      </c>
      <c r="I12" s="2">
        <v>0</v>
      </c>
      <c r="J12" s="2">
        <v>0</v>
      </c>
      <c r="K12" s="2">
        <v>0</v>
      </c>
    </row>
    <row r="13" spans="7:11" x14ac:dyDescent="0.25">
      <c r="G13" s="2">
        <v>10</v>
      </c>
      <c r="H13" s="8">
        <v>1</v>
      </c>
      <c r="I13" s="2">
        <v>0</v>
      </c>
      <c r="J13" s="2">
        <v>0</v>
      </c>
      <c r="K13" s="2">
        <v>0</v>
      </c>
    </row>
    <row r="14" spans="7:11" x14ac:dyDescent="0.25">
      <c r="G14" s="2">
        <v>11</v>
      </c>
      <c r="H14" s="8">
        <v>3</v>
      </c>
      <c r="I14" s="2">
        <v>0</v>
      </c>
      <c r="J14" s="2">
        <v>0</v>
      </c>
      <c r="K14" s="2">
        <v>0</v>
      </c>
    </row>
    <row r="15" spans="7:11" x14ac:dyDescent="0.25">
      <c r="G15" s="2">
        <v>12</v>
      </c>
      <c r="H15" s="6">
        <v>6</v>
      </c>
      <c r="I15" s="2">
        <v>0</v>
      </c>
      <c r="J15" s="2">
        <v>0</v>
      </c>
      <c r="K15" s="2">
        <v>0</v>
      </c>
    </row>
    <row r="16" spans="7:11" x14ac:dyDescent="0.25">
      <c r="G16" s="2">
        <v>13</v>
      </c>
      <c r="H16" s="6">
        <v>1</v>
      </c>
      <c r="I16" s="2">
        <v>0</v>
      </c>
      <c r="J16" s="2">
        <v>0</v>
      </c>
      <c r="K16" s="2">
        <v>0</v>
      </c>
    </row>
    <row r="17" spans="4:18" ht="34.5" customHeight="1" x14ac:dyDescent="0.25">
      <c r="G17" s="5"/>
      <c r="H17" s="5">
        <f>SUM(H4:H16)</f>
        <v>72</v>
      </c>
      <c r="I17" s="5">
        <f t="shared" ref="I17:K17" si="0">SUM(I4:I16)</f>
        <v>23</v>
      </c>
      <c r="J17" s="5">
        <f t="shared" si="0"/>
        <v>26</v>
      </c>
      <c r="K17" s="5">
        <f t="shared" si="0"/>
        <v>6</v>
      </c>
      <c r="L17" s="4"/>
    </row>
    <row r="18" spans="4:18" ht="29.25" customHeight="1" x14ac:dyDescent="0.25">
      <c r="D18" s="1"/>
      <c r="E18" s="15" t="s">
        <v>14</v>
      </c>
      <c r="F18" s="15" t="s">
        <v>10</v>
      </c>
      <c r="G18" s="5" t="s">
        <v>6</v>
      </c>
      <c r="H18" s="5">
        <v>13</v>
      </c>
      <c r="I18" s="5">
        <v>6</v>
      </c>
      <c r="J18" s="5">
        <v>3</v>
      </c>
      <c r="K18" s="5">
        <v>1</v>
      </c>
      <c r="L18" s="4"/>
    </row>
    <row r="19" spans="4:18" ht="29.25" customHeight="1" x14ac:dyDescent="0.25">
      <c r="D19" s="10" t="s">
        <v>7</v>
      </c>
      <c r="E19" s="11">
        <f>2468107+3251487+1420054+1100623*4</f>
        <v>11542140</v>
      </c>
      <c r="F19" s="11">
        <f>E19/7</f>
        <v>1648877.142857143</v>
      </c>
      <c r="G19" s="5" t="s">
        <v>11</v>
      </c>
      <c r="H19" s="5">
        <f>+H5+H9+H10</f>
        <v>22</v>
      </c>
      <c r="I19" s="5">
        <f>+I4+I6+I7</f>
        <v>8</v>
      </c>
      <c r="J19" s="5">
        <f>+J5</f>
        <v>1</v>
      </c>
      <c r="K19" s="5">
        <v>0</v>
      </c>
      <c r="L19" s="4"/>
    </row>
    <row r="20" spans="4:18" ht="29.25" customHeight="1" x14ac:dyDescent="0.25">
      <c r="D20" s="13" t="s">
        <v>8</v>
      </c>
      <c r="E20" s="11">
        <f>1478953*4+1784562</f>
        <v>7700374</v>
      </c>
      <c r="F20" s="11">
        <f>E20/5</f>
        <v>1540074.8</v>
      </c>
      <c r="G20" s="5" t="s">
        <v>12</v>
      </c>
      <c r="H20" s="5">
        <f>+H4+H6+H7+H8+H15+H16</f>
        <v>42</v>
      </c>
      <c r="I20" s="5">
        <f>+I5+I8+I9</f>
        <v>15</v>
      </c>
      <c r="J20" s="5">
        <f>+J4+J6</f>
        <v>25</v>
      </c>
      <c r="K20" s="5">
        <f>+K4</f>
        <v>6</v>
      </c>
      <c r="L20" s="4"/>
      <c r="N20" s="3" t="s">
        <v>32</v>
      </c>
      <c r="O20" s="3" t="s">
        <v>1</v>
      </c>
      <c r="P20" s="3" t="s">
        <v>2</v>
      </c>
      <c r="Q20" s="3" t="s">
        <v>3</v>
      </c>
      <c r="R20" s="3" t="s">
        <v>4</v>
      </c>
    </row>
    <row r="21" spans="4:18" ht="29.25" customHeight="1" x14ac:dyDescent="0.25">
      <c r="D21" s="14" t="s">
        <v>9</v>
      </c>
      <c r="E21" s="11">
        <f>1163000*4</f>
        <v>4652000</v>
      </c>
      <c r="F21" s="11">
        <f>E21/4</f>
        <v>1163000</v>
      </c>
      <c r="G21" s="5" t="s">
        <v>13</v>
      </c>
      <c r="H21" s="5">
        <f>+H11+H12+H13+H14</f>
        <v>8</v>
      </c>
      <c r="I21" s="5">
        <v>0</v>
      </c>
      <c r="J21" s="5">
        <v>0</v>
      </c>
      <c r="K21" s="5">
        <v>0</v>
      </c>
      <c r="L21" s="4"/>
      <c r="N21" s="2">
        <f>SUM(H17:K17)</f>
        <v>127</v>
      </c>
      <c r="O21" s="29">
        <f>+H17/$N$21</f>
        <v>0.56692913385826771</v>
      </c>
      <c r="P21" s="29">
        <f t="shared" ref="P21:R21" si="1">+I17/$N$21</f>
        <v>0.18110236220472442</v>
      </c>
      <c r="Q21" s="29">
        <f t="shared" si="1"/>
        <v>0.20472440944881889</v>
      </c>
      <c r="R21" s="29">
        <f t="shared" si="1"/>
        <v>4.7244094488188976E-2</v>
      </c>
    </row>
    <row r="22" spans="4:18" x14ac:dyDescent="0.25">
      <c r="E22" s="22">
        <f>SUM(E19:E21)</f>
        <v>23894514</v>
      </c>
      <c r="F22" s="22">
        <f>AVERAGE(F19:F21)</f>
        <v>1450650.6476190474</v>
      </c>
      <c r="G22" s="1"/>
      <c r="H22" s="1"/>
      <c r="I22" s="1"/>
      <c r="J22" s="1"/>
      <c r="K22" s="1"/>
    </row>
    <row r="23" spans="4:18" ht="30.75" customHeight="1" x14ac:dyDescent="0.25">
      <c r="G23" s="1"/>
      <c r="H23" s="26" t="s">
        <v>15</v>
      </c>
      <c r="I23" s="26" t="s">
        <v>33</v>
      </c>
      <c r="J23" s="26" t="s">
        <v>17</v>
      </c>
      <c r="K23" s="26" t="s">
        <v>18</v>
      </c>
      <c r="L23" s="26" t="s">
        <v>19</v>
      </c>
    </row>
    <row r="24" spans="4:18" x14ac:dyDescent="0.25">
      <c r="G24" s="25" t="s">
        <v>7</v>
      </c>
      <c r="H24" s="17">
        <f>+$F$19/(H19*30)</f>
        <v>2498.2987012987014</v>
      </c>
      <c r="I24" s="17">
        <f t="shared" ref="I24:J24" si="2">+$F$19/(I19*30)</f>
        <v>6870.3214285714294</v>
      </c>
      <c r="J24" s="17">
        <f t="shared" si="2"/>
        <v>54962.571428571435</v>
      </c>
      <c r="K24" s="18">
        <v>0</v>
      </c>
      <c r="L24" s="19">
        <f>SUM(H24:K24)</f>
        <v>64331.191558441569</v>
      </c>
    </row>
    <row r="25" spans="4:18" x14ac:dyDescent="0.25">
      <c r="G25" s="25" t="s">
        <v>8</v>
      </c>
      <c r="H25" s="17">
        <f>+$F$20/(H20*30)</f>
        <v>1222.2815873015873</v>
      </c>
      <c r="I25" s="17">
        <f t="shared" ref="I25:K25" si="3">+$F$20/(I20*30)</f>
        <v>3422.3884444444448</v>
      </c>
      <c r="J25" s="17">
        <f t="shared" si="3"/>
        <v>2053.4330666666669</v>
      </c>
      <c r="K25" s="18">
        <f t="shared" si="3"/>
        <v>8555.9711111111119</v>
      </c>
      <c r="L25" s="19">
        <f t="shared" ref="L25:L26" si="4">SUM(H25:K25)</f>
        <v>15254.074209523811</v>
      </c>
    </row>
    <row r="26" spans="4:18" x14ac:dyDescent="0.25">
      <c r="G26" s="25" t="s">
        <v>9</v>
      </c>
      <c r="H26" s="17">
        <f>+$F$21/(H21*30)</f>
        <v>4845.833333333333</v>
      </c>
      <c r="I26" s="17">
        <v>0</v>
      </c>
      <c r="J26" s="17">
        <v>0</v>
      </c>
      <c r="K26" s="18">
        <v>0</v>
      </c>
      <c r="L26" s="19">
        <f t="shared" si="4"/>
        <v>4845.833333333333</v>
      </c>
    </row>
    <row r="27" spans="4:18" x14ac:dyDescent="0.25">
      <c r="H27" s="16"/>
      <c r="I27" s="16"/>
      <c r="J27" s="32" t="s">
        <v>20</v>
      </c>
      <c r="K27" s="32"/>
      <c r="L27" s="19">
        <f>SUM(L24:L26)</f>
        <v>84431.099101298707</v>
      </c>
    </row>
    <row r="28" spans="4:18" x14ac:dyDescent="0.25">
      <c r="H28" s="20"/>
    </row>
    <row r="30" spans="4:18" ht="28.5" customHeight="1" x14ac:dyDescent="0.25">
      <c r="I30" s="27" t="s">
        <v>21</v>
      </c>
      <c r="J30" s="27" t="s">
        <v>25</v>
      </c>
      <c r="K30" s="27" t="s">
        <v>29</v>
      </c>
      <c r="L30" s="27" t="s">
        <v>30</v>
      </c>
    </row>
    <row r="31" spans="4:18" x14ac:dyDescent="0.25">
      <c r="H31" s="12" t="s">
        <v>22</v>
      </c>
      <c r="I31" s="11" t="s">
        <v>26</v>
      </c>
      <c r="J31" s="11">
        <f>401278</f>
        <v>401278</v>
      </c>
      <c r="K31" s="21">
        <v>0.68</v>
      </c>
      <c r="L31" s="11">
        <f>+J31*K31</f>
        <v>272869.04000000004</v>
      </c>
      <c r="M31" s="9"/>
    </row>
    <row r="32" spans="4:18" x14ac:dyDescent="0.25">
      <c r="H32" s="12" t="s">
        <v>23</v>
      </c>
      <c r="I32" s="11" t="s">
        <v>27</v>
      </c>
      <c r="J32" s="11">
        <f>1264874/12</f>
        <v>105406.16666666667</v>
      </c>
      <c r="K32" s="21">
        <v>0.93</v>
      </c>
      <c r="L32" s="11">
        <f t="shared" ref="L32:L33" si="5">+J32*K32</f>
        <v>98027.735000000015</v>
      </c>
      <c r="M32" s="9"/>
    </row>
    <row r="33" spans="7:13" x14ac:dyDescent="0.25">
      <c r="H33" s="12" t="s">
        <v>24</v>
      </c>
      <c r="I33" s="11" t="s">
        <v>28</v>
      </c>
      <c r="J33" s="11">
        <f>+L27</f>
        <v>84431.099101298707</v>
      </c>
      <c r="K33" s="21">
        <v>1</v>
      </c>
      <c r="L33" s="11">
        <f t="shared" si="5"/>
        <v>84431.099101298707</v>
      </c>
      <c r="M33" s="9"/>
    </row>
    <row r="34" spans="7:13" x14ac:dyDescent="0.25">
      <c r="J34" s="9"/>
      <c r="K34" s="23" t="s">
        <v>31</v>
      </c>
      <c r="L34" s="24">
        <f>SUM(L31:L33)</f>
        <v>455327.87410129874</v>
      </c>
      <c r="M34" s="9"/>
    </row>
    <row r="35" spans="7:13" x14ac:dyDescent="0.25">
      <c r="H35" s="9"/>
      <c r="I35" s="9"/>
      <c r="J35" s="9"/>
      <c r="K35" s="9"/>
      <c r="L35" s="9"/>
      <c r="M35" s="9"/>
    </row>
    <row r="36" spans="7:13" x14ac:dyDescent="0.25">
      <c r="H36" s="9"/>
      <c r="I36" s="9"/>
      <c r="J36" s="9"/>
      <c r="K36" s="9"/>
      <c r="L36" s="9"/>
      <c r="M36" s="9"/>
    </row>
    <row r="37" spans="7:13" x14ac:dyDescent="0.25">
      <c r="H37" s="9"/>
      <c r="I37" s="9"/>
      <c r="J37" s="9"/>
      <c r="K37" s="9"/>
      <c r="L37" s="9"/>
      <c r="M37" s="9"/>
    </row>
    <row r="38" spans="7:13" x14ac:dyDescent="0.25">
      <c r="H38" s="9"/>
      <c r="I38" s="9"/>
      <c r="J38" s="9"/>
      <c r="K38" s="9"/>
      <c r="L38" s="9"/>
      <c r="M38" s="9"/>
    </row>
    <row r="39" spans="7:13" ht="30" x14ac:dyDescent="0.25">
      <c r="H39" s="26" t="s">
        <v>15</v>
      </c>
      <c r="I39" s="26" t="s">
        <v>33</v>
      </c>
      <c r="J39" s="26" t="s">
        <v>17</v>
      </c>
      <c r="K39" s="26" t="s">
        <v>18</v>
      </c>
      <c r="L39" s="26" t="s">
        <v>19</v>
      </c>
    </row>
    <row r="40" spans="7:13" x14ac:dyDescent="0.25">
      <c r="G40" s="25" t="s">
        <v>7</v>
      </c>
      <c r="H40" s="17">
        <f>+H24</f>
        <v>2498.2987012987014</v>
      </c>
      <c r="I40" s="17">
        <f t="shared" ref="I40:K40" si="6">+I24</f>
        <v>6870.3214285714294</v>
      </c>
      <c r="J40" s="17">
        <f t="shared" si="6"/>
        <v>54962.571428571435</v>
      </c>
      <c r="K40" s="17">
        <f t="shared" si="6"/>
        <v>0</v>
      </c>
      <c r="L40" s="19">
        <f>SUM(H40:K40)</f>
        <v>64331.191558441569</v>
      </c>
    </row>
    <row r="41" spans="7:13" x14ac:dyDescent="0.25">
      <c r="G41" s="25" t="s">
        <v>8</v>
      </c>
      <c r="H41" s="17">
        <f t="shared" ref="H41:K42" si="7">+H25</f>
        <v>1222.2815873015873</v>
      </c>
      <c r="I41" s="17">
        <f t="shared" si="7"/>
        <v>3422.3884444444448</v>
      </c>
      <c r="J41" s="17">
        <f t="shared" si="7"/>
        <v>2053.4330666666669</v>
      </c>
      <c r="K41" s="17">
        <f t="shared" si="7"/>
        <v>8555.9711111111119</v>
      </c>
      <c r="L41" s="19">
        <f t="shared" ref="L41:L42" si="8">SUM(H41:K41)</f>
        <v>15254.074209523811</v>
      </c>
    </row>
    <row r="42" spans="7:13" x14ac:dyDescent="0.25">
      <c r="G42" s="25" t="s">
        <v>9</v>
      </c>
      <c r="H42" s="17">
        <f t="shared" si="7"/>
        <v>4845.833333333333</v>
      </c>
      <c r="I42" s="17">
        <f t="shared" si="7"/>
        <v>0</v>
      </c>
      <c r="J42" s="17">
        <f t="shared" si="7"/>
        <v>0</v>
      </c>
      <c r="K42" s="17">
        <f t="shared" si="7"/>
        <v>0</v>
      </c>
      <c r="L42" s="19">
        <f t="shared" si="8"/>
        <v>4845.833333333333</v>
      </c>
    </row>
    <row r="43" spans="7:13" x14ac:dyDescent="0.25">
      <c r="G43" s="25" t="s">
        <v>34</v>
      </c>
      <c r="H43" s="19">
        <f>SUM(H40:H42)</f>
        <v>8566.4136219336215</v>
      </c>
      <c r="I43" s="19">
        <f t="shared" ref="I43:K43" si="9">SUM(I40:I42)</f>
        <v>10292.709873015874</v>
      </c>
      <c r="J43" s="19">
        <f t="shared" si="9"/>
        <v>57016.004495238099</v>
      </c>
      <c r="K43" s="19">
        <f t="shared" si="9"/>
        <v>8555.9711111111119</v>
      </c>
      <c r="L43" s="19">
        <f>SUM(L40:L42)</f>
        <v>84431.099101298707</v>
      </c>
    </row>
    <row r="44" spans="7:13" x14ac:dyDescent="0.25">
      <c r="G44" s="25" t="s">
        <v>35</v>
      </c>
      <c r="H44" s="30">
        <f>H43/$L$43</f>
        <v>0.10146040633269281</v>
      </c>
      <c r="I44" s="30">
        <f t="shared" ref="I44:K44" si="10">I43/$L$43</f>
        <v>0.12190661951074321</v>
      </c>
      <c r="J44" s="30">
        <f t="shared" si="10"/>
        <v>0.67529624868238969</v>
      </c>
      <c r="K44" s="30">
        <f t="shared" si="10"/>
        <v>0.1013367254741743</v>
      </c>
      <c r="L44" s="12"/>
    </row>
  </sheetData>
  <mergeCells count="2">
    <mergeCell ref="H2:K2"/>
    <mergeCell ref="J27:K2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M38"/>
  <sheetViews>
    <sheetView topLeftCell="C5" workbookViewId="0">
      <selection activeCell="I20" sqref="I20"/>
    </sheetView>
  </sheetViews>
  <sheetFormatPr baseColWidth="10" defaultRowHeight="15" x14ac:dyDescent="0.25"/>
  <cols>
    <col min="7" max="7" width="18.28515625" customWidth="1"/>
    <col min="8" max="10" width="15.85546875" customWidth="1"/>
    <col min="11" max="11" width="18.7109375" customWidth="1"/>
  </cols>
  <sheetData>
    <row r="1" spans="7:11" x14ac:dyDescent="0.25">
      <c r="G1" s="1"/>
      <c r="H1" s="1"/>
      <c r="I1" s="1"/>
      <c r="J1" s="1"/>
      <c r="K1" s="1"/>
    </row>
    <row r="2" spans="7:11" x14ac:dyDescent="0.25">
      <c r="G2" s="1"/>
      <c r="H2" s="31" t="s">
        <v>0</v>
      </c>
      <c r="I2" s="31"/>
      <c r="J2" s="31"/>
      <c r="K2" s="31"/>
    </row>
    <row r="3" spans="7:11" x14ac:dyDescent="0.25">
      <c r="G3" s="3" t="s">
        <v>5</v>
      </c>
      <c r="H3" s="3" t="s">
        <v>1</v>
      </c>
      <c r="I3" s="3" t="s">
        <v>2</v>
      </c>
      <c r="J3" s="3" t="s">
        <v>3</v>
      </c>
      <c r="K3" s="3" t="s">
        <v>4</v>
      </c>
    </row>
    <row r="4" spans="7:11" x14ac:dyDescent="0.25">
      <c r="G4" s="2">
        <v>1</v>
      </c>
      <c r="H4" s="28">
        <v>16</v>
      </c>
      <c r="I4" s="28">
        <v>5</v>
      </c>
      <c r="J4" s="28">
        <v>23</v>
      </c>
      <c r="K4" s="28">
        <v>6</v>
      </c>
    </row>
    <row r="5" spans="7:11" x14ac:dyDescent="0.25">
      <c r="G5" s="2">
        <v>2</v>
      </c>
      <c r="H5" s="28">
        <v>1</v>
      </c>
      <c r="I5" s="28">
        <v>7</v>
      </c>
      <c r="J5" s="28">
        <v>1</v>
      </c>
      <c r="K5" s="28">
        <v>0</v>
      </c>
    </row>
    <row r="6" spans="7:11" x14ac:dyDescent="0.25">
      <c r="G6" s="2">
        <v>3</v>
      </c>
      <c r="H6" s="28">
        <v>2</v>
      </c>
      <c r="I6" s="28">
        <v>1</v>
      </c>
      <c r="J6" s="28">
        <v>2</v>
      </c>
      <c r="K6" s="28">
        <v>0</v>
      </c>
    </row>
    <row r="7" spans="7:11" x14ac:dyDescent="0.25">
      <c r="G7" s="2">
        <v>4</v>
      </c>
      <c r="H7" s="28">
        <v>15</v>
      </c>
      <c r="I7" s="28">
        <v>2</v>
      </c>
      <c r="J7" s="28">
        <v>0</v>
      </c>
      <c r="K7" s="28">
        <v>0</v>
      </c>
    </row>
    <row r="8" spans="7:11" x14ac:dyDescent="0.25">
      <c r="G8" s="2">
        <v>5</v>
      </c>
      <c r="H8" s="28">
        <v>2</v>
      </c>
      <c r="I8" s="28">
        <v>4</v>
      </c>
      <c r="J8" s="28">
        <v>0</v>
      </c>
      <c r="K8" s="28">
        <v>0</v>
      </c>
    </row>
    <row r="9" spans="7:11" x14ac:dyDescent="0.25">
      <c r="G9" s="2">
        <v>6</v>
      </c>
      <c r="H9" s="28">
        <v>4</v>
      </c>
      <c r="I9" s="28">
        <v>4</v>
      </c>
      <c r="J9" s="28">
        <v>0</v>
      </c>
      <c r="K9" s="28">
        <v>0</v>
      </c>
    </row>
    <row r="10" spans="7:11" x14ac:dyDescent="0.25">
      <c r="G10" s="2">
        <v>7</v>
      </c>
      <c r="H10" s="28">
        <v>17</v>
      </c>
      <c r="I10" s="28">
        <v>0</v>
      </c>
      <c r="J10" s="28">
        <v>0</v>
      </c>
      <c r="K10" s="28">
        <v>0</v>
      </c>
    </row>
    <row r="11" spans="7:11" x14ac:dyDescent="0.25">
      <c r="G11" s="2">
        <v>8</v>
      </c>
      <c r="H11" s="7">
        <v>1</v>
      </c>
      <c r="I11" s="28">
        <v>0</v>
      </c>
      <c r="J11" s="28">
        <v>0</v>
      </c>
      <c r="K11" s="28">
        <v>0</v>
      </c>
    </row>
    <row r="12" spans="7:11" x14ac:dyDescent="0.25">
      <c r="G12" s="2">
        <v>9</v>
      </c>
      <c r="H12" s="28">
        <v>3</v>
      </c>
      <c r="I12" s="28">
        <v>0</v>
      </c>
      <c r="J12" s="28">
        <v>0</v>
      </c>
      <c r="K12" s="28">
        <v>0</v>
      </c>
    </row>
    <row r="13" spans="7:11" x14ac:dyDescent="0.25">
      <c r="G13" s="2">
        <v>10</v>
      </c>
      <c r="H13" s="28">
        <v>1</v>
      </c>
      <c r="I13" s="28">
        <v>0</v>
      </c>
      <c r="J13" s="28">
        <v>0</v>
      </c>
      <c r="K13" s="28">
        <v>0</v>
      </c>
    </row>
    <row r="14" spans="7:11" x14ac:dyDescent="0.25">
      <c r="G14" s="2">
        <v>11</v>
      </c>
      <c r="H14" s="28">
        <v>3</v>
      </c>
      <c r="I14" s="28">
        <v>0</v>
      </c>
      <c r="J14" s="28">
        <v>0</v>
      </c>
      <c r="K14" s="28">
        <v>0</v>
      </c>
    </row>
    <row r="15" spans="7:11" x14ac:dyDescent="0.25">
      <c r="G15" s="2">
        <v>12</v>
      </c>
      <c r="H15" s="28">
        <v>6</v>
      </c>
      <c r="I15" s="28">
        <v>0</v>
      </c>
      <c r="J15" s="28">
        <v>0</v>
      </c>
      <c r="K15" s="28">
        <v>0</v>
      </c>
    </row>
    <row r="16" spans="7:11" x14ac:dyDescent="0.25">
      <c r="G16" s="2">
        <v>13</v>
      </c>
      <c r="H16" s="28">
        <v>1</v>
      </c>
      <c r="I16" s="28">
        <v>0</v>
      </c>
      <c r="J16" s="28">
        <v>0</v>
      </c>
      <c r="K16" s="28">
        <v>0</v>
      </c>
    </row>
    <row r="17" spans="4:13" ht="34.5" customHeight="1" x14ac:dyDescent="0.25">
      <c r="G17" s="5"/>
      <c r="H17" s="5">
        <f>SUM(H4:H16)</f>
        <v>72</v>
      </c>
      <c r="I17" s="5">
        <f t="shared" ref="I17:K17" si="0">SUM(I4:I16)</f>
        <v>23</v>
      </c>
      <c r="J17" s="5">
        <f t="shared" si="0"/>
        <v>26</v>
      </c>
      <c r="K17" s="5">
        <f t="shared" si="0"/>
        <v>6</v>
      </c>
      <c r="L17" s="4"/>
    </row>
    <row r="18" spans="4:13" ht="29.25" customHeight="1" x14ac:dyDescent="0.25">
      <c r="D18" s="1"/>
      <c r="E18" s="15" t="s">
        <v>14</v>
      </c>
      <c r="F18" s="15" t="s">
        <v>10</v>
      </c>
      <c r="G18" s="5" t="s">
        <v>6</v>
      </c>
      <c r="H18" s="5">
        <v>13</v>
      </c>
      <c r="I18" s="5">
        <v>6</v>
      </c>
      <c r="J18" s="5">
        <v>3</v>
      </c>
      <c r="K18" s="5">
        <v>1</v>
      </c>
      <c r="L18" s="4"/>
    </row>
    <row r="19" spans="4:13" ht="29.25" customHeight="1" x14ac:dyDescent="0.25">
      <c r="D19" s="10" t="s">
        <v>7</v>
      </c>
      <c r="E19" s="11">
        <f>2468107+3251487+1420054+1100623*4</f>
        <v>11542140</v>
      </c>
      <c r="F19" s="11">
        <f>E19/7</f>
        <v>1648877.142857143</v>
      </c>
      <c r="G19" s="5" t="s">
        <v>11</v>
      </c>
      <c r="H19" s="5">
        <f>+H5+H9+H10</f>
        <v>22</v>
      </c>
      <c r="I19" s="5">
        <f>+I4+I6+I7</f>
        <v>8</v>
      </c>
      <c r="J19" s="5">
        <f>+J5</f>
        <v>1</v>
      </c>
      <c r="K19" s="5">
        <v>0</v>
      </c>
      <c r="L19" s="4"/>
    </row>
    <row r="20" spans="4:13" ht="29.25" customHeight="1" x14ac:dyDescent="0.25">
      <c r="D20" s="13" t="s">
        <v>8</v>
      </c>
      <c r="E20" s="11">
        <f>1478953*4+1784562</f>
        <v>7700374</v>
      </c>
      <c r="F20" s="11">
        <f>E20/5</f>
        <v>1540074.8</v>
      </c>
      <c r="G20" s="5" t="s">
        <v>12</v>
      </c>
      <c r="H20" s="5">
        <f>+H4+H6+H7+H8+H15+H16</f>
        <v>42</v>
      </c>
      <c r="I20" s="5">
        <f>+I5+I8+I9</f>
        <v>15</v>
      </c>
      <c r="J20" s="5">
        <f>+J4+J6</f>
        <v>25</v>
      </c>
      <c r="K20" s="5">
        <f>+K4</f>
        <v>6</v>
      </c>
      <c r="L20" s="4"/>
    </row>
    <row r="21" spans="4:13" ht="29.25" customHeight="1" x14ac:dyDescent="0.25">
      <c r="D21" s="14" t="s">
        <v>9</v>
      </c>
      <c r="E21" s="11">
        <f>1163000*4</f>
        <v>4652000</v>
      </c>
      <c r="F21" s="11">
        <f>E21/4</f>
        <v>1163000</v>
      </c>
      <c r="G21" s="5" t="s">
        <v>13</v>
      </c>
      <c r="H21" s="5">
        <f>+H11+H12+H13+H14</f>
        <v>8</v>
      </c>
      <c r="I21" s="5">
        <v>0</v>
      </c>
      <c r="J21" s="5">
        <v>0</v>
      </c>
      <c r="K21" s="5">
        <v>0</v>
      </c>
      <c r="L21" s="4"/>
    </row>
    <row r="22" spans="4:13" x14ac:dyDescent="0.25">
      <c r="E22" s="22">
        <f>SUM(E19:E21)</f>
        <v>23894514</v>
      </c>
      <c r="F22" s="22">
        <f>AVERAGE(F19:F21)</f>
        <v>1450650.6476190474</v>
      </c>
      <c r="G22" s="1"/>
      <c r="H22" s="1"/>
      <c r="I22" s="1"/>
      <c r="J22" s="1"/>
      <c r="K22" s="1"/>
    </row>
    <row r="23" spans="4:13" ht="30.75" customHeight="1" x14ac:dyDescent="0.25">
      <c r="G23" s="1"/>
      <c r="H23" s="26" t="s">
        <v>15</v>
      </c>
      <c r="I23" s="26" t="s">
        <v>16</v>
      </c>
      <c r="J23" s="26" t="s">
        <v>17</v>
      </c>
      <c r="K23" s="26" t="s">
        <v>18</v>
      </c>
      <c r="L23" s="26" t="s">
        <v>19</v>
      </c>
    </row>
    <row r="24" spans="4:13" x14ac:dyDescent="0.25">
      <c r="G24" s="25" t="s">
        <v>7</v>
      </c>
      <c r="H24" s="17">
        <f>+$F$19/(H19*30)</f>
        <v>2498.2987012987014</v>
      </c>
      <c r="I24" s="17">
        <f t="shared" ref="I24:J24" si="1">+$F$19/(I19*30)</f>
        <v>6870.3214285714294</v>
      </c>
      <c r="J24" s="17">
        <f t="shared" si="1"/>
        <v>54962.571428571435</v>
      </c>
      <c r="K24" s="18">
        <v>0</v>
      </c>
      <c r="L24" s="19">
        <f>SUM(H24:K24)</f>
        <v>64331.191558441569</v>
      </c>
    </row>
    <row r="25" spans="4:13" x14ac:dyDescent="0.25">
      <c r="G25" s="25" t="s">
        <v>8</v>
      </c>
      <c r="H25" s="17">
        <f>+$F$20/(H20*30)</f>
        <v>1222.2815873015873</v>
      </c>
      <c r="I25" s="17">
        <f t="shared" ref="I25:K25" si="2">+$F$20/(I20*30)</f>
        <v>3422.3884444444448</v>
      </c>
      <c r="J25" s="17">
        <f t="shared" si="2"/>
        <v>2053.4330666666669</v>
      </c>
      <c r="K25" s="18">
        <f t="shared" si="2"/>
        <v>8555.9711111111119</v>
      </c>
      <c r="L25" s="19">
        <f t="shared" ref="L25:L26" si="3">SUM(H25:K25)</f>
        <v>15254.074209523811</v>
      </c>
    </row>
    <row r="26" spans="4:13" x14ac:dyDescent="0.25">
      <c r="G26" s="25" t="s">
        <v>9</v>
      </c>
      <c r="H26" s="17">
        <f>+$F$21/(H21*30)</f>
        <v>4845.833333333333</v>
      </c>
      <c r="I26" s="17">
        <v>0</v>
      </c>
      <c r="J26" s="17">
        <v>0</v>
      </c>
      <c r="K26" s="18">
        <v>0</v>
      </c>
      <c r="L26" s="19">
        <f t="shared" si="3"/>
        <v>4845.833333333333</v>
      </c>
    </row>
    <row r="27" spans="4:13" x14ac:dyDescent="0.25">
      <c r="H27" s="16"/>
      <c r="I27" s="16"/>
      <c r="J27" s="32" t="s">
        <v>20</v>
      </c>
      <c r="K27" s="32"/>
      <c r="L27" s="19">
        <f>SUM(L24:L26)</f>
        <v>84431.099101298707</v>
      </c>
    </row>
    <row r="30" spans="4:13" ht="28.5" customHeight="1" x14ac:dyDescent="0.25">
      <c r="I30" s="27" t="s">
        <v>21</v>
      </c>
      <c r="J30" s="27" t="s">
        <v>25</v>
      </c>
      <c r="K30" s="27" t="s">
        <v>29</v>
      </c>
      <c r="L30" s="27" t="s">
        <v>30</v>
      </c>
    </row>
    <row r="31" spans="4:13" x14ac:dyDescent="0.25">
      <c r="H31" s="12" t="s">
        <v>22</v>
      </c>
      <c r="I31" s="11" t="s">
        <v>26</v>
      </c>
      <c r="J31" s="11">
        <f>401278</f>
        <v>401278</v>
      </c>
      <c r="K31" s="21">
        <v>0.68</v>
      </c>
      <c r="L31" s="11">
        <f>+J31*K31</f>
        <v>272869.04000000004</v>
      </c>
      <c r="M31" s="9"/>
    </row>
    <row r="32" spans="4:13" x14ac:dyDescent="0.25">
      <c r="H32" s="12" t="s">
        <v>23</v>
      </c>
      <c r="I32" s="11" t="s">
        <v>27</v>
      </c>
      <c r="J32" s="11">
        <f>1264874/12</f>
        <v>105406.16666666667</v>
      </c>
      <c r="K32" s="21">
        <v>0.93</v>
      </c>
      <c r="L32" s="11">
        <f t="shared" ref="L32:L33" si="4">+J32*K32</f>
        <v>98027.735000000015</v>
      </c>
      <c r="M32" s="9"/>
    </row>
    <row r="33" spans="8:13" x14ac:dyDescent="0.25">
      <c r="H33" s="12" t="s">
        <v>24</v>
      </c>
      <c r="I33" s="11" t="s">
        <v>28</v>
      </c>
      <c r="J33" s="11">
        <f>+L27</f>
        <v>84431.099101298707</v>
      </c>
      <c r="K33" s="21">
        <v>1</v>
      </c>
      <c r="L33" s="11">
        <f t="shared" si="4"/>
        <v>84431.099101298707</v>
      </c>
      <c r="M33" s="9"/>
    </row>
    <row r="34" spans="8:13" x14ac:dyDescent="0.25">
      <c r="J34" s="9"/>
      <c r="K34" s="23" t="s">
        <v>31</v>
      </c>
      <c r="L34" s="24">
        <f>SUM(L31:L33)</f>
        <v>455327.87410129874</v>
      </c>
      <c r="M34" s="9"/>
    </row>
    <row r="35" spans="8:13" x14ac:dyDescent="0.25">
      <c r="H35" s="9"/>
      <c r="I35" s="9"/>
      <c r="J35" s="9"/>
      <c r="K35" s="9"/>
      <c r="L35" s="9"/>
      <c r="M35" s="9"/>
    </row>
    <row r="36" spans="8:13" x14ac:dyDescent="0.25">
      <c r="H36" s="9"/>
      <c r="I36" s="9"/>
      <c r="J36" s="9"/>
      <c r="K36" s="9"/>
      <c r="L36" s="9"/>
      <c r="M36" s="9"/>
    </row>
    <row r="37" spans="8:13" x14ac:dyDescent="0.25">
      <c r="H37" s="9"/>
      <c r="I37" s="9"/>
      <c r="J37" s="9"/>
      <c r="K37" s="9"/>
      <c r="L37" s="9"/>
      <c r="M37" s="9"/>
    </row>
    <row r="38" spans="8:13" x14ac:dyDescent="0.25">
      <c r="H38" s="9"/>
      <c r="I38" s="9"/>
      <c r="J38" s="9"/>
      <c r="K38" s="9"/>
      <c r="L38" s="9"/>
      <c r="M38" s="9"/>
    </row>
  </sheetData>
  <mergeCells count="2">
    <mergeCell ref="H2:K2"/>
    <mergeCell ref="J27:K2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I19"/>
  <sheetViews>
    <sheetView topLeftCell="C1" workbookViewId="0">
      <selection activeCell="J9" sqref="J9"/>
    </sheetView>
  </sheetViews>
  <sheetFormatPr baseColWidth="10" defaultRowHeight="15" x14ac:dyDescent="0.25"/>
  <cols>
    <col min="5" max="7" width="15.85546875" customWidth="1"/>
    <col min="8" max="8" width="18.7109375" customWidth="1"/>
  </cols>
  <sheetData>
    <row r="1" spans="4:8" x14ac:dyDescent="0.25">
      <c r="D1" s="1"/>
      <c r="E1" s="1"/>
      <c r="F1" s="1"/>
      <c r="G1" s="1"/>
      <c r="H1" s="1"/>
    </row>
    <row r="2" spans="4:8" x14ac:dyDescent="0.25">
      <c r="D2" s="1"/>
      <c r="E2" s="31" t="s">
        <v>0</v>
      </c>
      <c r="F2" s="31"/>
      <c r="G2" s="31"/>
      <c r="H2" s="31"/>
    </row>
    <row r="3" spans="4:8" x14ac:dyDescent="0.25">
      <c r="D3" s="3" t="s">
        <v>5</v>
      </c>
      <c r="E3" s="3" t="s">
        <v>1</v>
      </c>
      <c r="F3" s="3" t="s">
        <v>2</v>
      </c>
      <c r="G3" s="3" t="s">
        <v>3</v>
      </c>
      <c r="H3" s="3" t="s">
        <v>4</v>
      </c>
    </row>
    <row r="4" spans="4:8" x14ac:dyDescent="0.25">
      <c r="D4" s="2">
        <v>1</v>
      </c>
      <c r="E4" s="2">
        <v>16</v>
      </c>
      <c r="F4" s="2">
        <v>5</v>
      </c>
      <c r="G4" s="2">
        <v>23</v>
      </c>
      <c r="H4" s="2">
        <v>6</v>
      </c>
    </row>
    <row r="5" spans="4:8" x14ac:dyDescent="0.25">
      <c r="D5" s="2">
        <v>2</v>
      </c>
      <c r="E5" s="2">
        <v>1</v>
      </c>
      <c r="F5" s="2">
        <v>7</v>
      </c>
      <c r="G5" s="2">
        <v>1</v>
      </c>
      <c r="H5" s="2">
        <v>0</v>
      </c>
    </row>
    <row r="6" spans="4:8" x14ac:dyDescent="0.25">
      <c r="D6" s="2">
        <v>3</v>
      </c>
      <c r="E6" s="2">
        <v>2</v>
      </c>
      <c r="F6" s="2">
        <v>1</v>
      </c>
      <c r="G6" s="2">
        <v>1</v>
      </c>
      <c r="H6" s="2">
        <v>0</v>
      </c>
    </row>
    <row r="7" spans="4:8" x14ac:dyDescent="0.25">
      <c r="D7" s="2">
        <v>4</v>
      </c>
      <c r="E7" s="2">
        <v>15</v>
      </c>
      <c r="F7" s="2">
        <v>2</v>
      </c>
      <c r="G7" s="2">
        <v>0</v>
      </c>
      <c r="H7" s="2">
        <v>0</v>
      </c>
    </row>
    <row r="8" spans="4:8" x14ac:dyDescent="0.25">
      <c r="D8" s="2">
        <v>5</v>
      </c>
      <c r="E8" s="2">
        <v>2</v>
      </c>
      <c r="F8" s="2">
        <v>4</v>
      </c>
      <c r="G8" s="2">
        <v>0</v>
      </c>
      <c r="H8" s="2">
        <v>0</v>
      </c>
    </row>
    <row r="9" spans="4:8" x14ac:dyDescent="0.25">
      <c r="D9" s="2">
        <v>6</v>
      </c>
      <c r="E9" s="2">
        <v>4</v>
      </c>
      <c r="F9" s="2">
        <v>4</v>
      </c>
      <c r="G9" s="2">
        <v>0</v>
      </c>
      <c r="H9" s="2">
        <v>0</v>
      </c>
    </row>
    <row r="10" spans="4:8" x14ac:dyDescent="0.25">
      <c r="D10" s="2">
        <v>7</v>
      </c>
      <c r="E10" s="2">
        <v>17</v>
      </c>
      <c r="F10" s="2">
        <v>0</v>
      </c>
      <c r="G10" s="2">
        <v>0</v>
      </c>
      <c r="H10" s="2">
        <v>0</v>
      </c>
    </row>
    <row r="11" spans="4:8" x14ac:dyDescent="0.25">
      <c r="D11" s="2">
        <v>8</v>
      </c>
      <c r="E11" s="2">
        <v>1</v>
      </c>
      <c r="F11" s="2">
        <v>0</v>
      </c>
      <c r="G11" s="2">
        <v>0</v>
      </c>
      <c r="H11" s="2">
        <v>0</v>
      </c>
    </row>
    <row r="12" spans="4:8" x14ac:dyDescent="0.25">
      <c r="D12" s="2">
        <v>9</v>
      </c>
      <c r="E12" s="2">
        <v>3</v>
      </c>
      <c r="F12" s="2">
        <v>0</v>
      </c>
      <c r="G12" s="2">
        <v>0</v>
      </c>
      <c r="H12" s="2">
        <v>0</v>
      </c>
    </row>
    <row r="13" spans="4:8" x14ac:dyDescent="0.25">
      <c r="D13" s="2">
        <v>10</v>
      </c>
      <c r="E13" s="2">
        <v>1</v>
      </c>
      <c r="F13" s="2">
        <v>0</v>
      </c>
      <c r="G13" s="2">
        <v>0</v>
      </c>
      <c r="H13" s="2">
        <v>0</v>
      </c>
    </row>
    <row r="14" spans="4:8" x14ac:dyDescent="0.25">
      <c r="D14" s="2">
        <v>11</v>
      </c>
      <c r="E14" s="2">
        <v>3</v>
      </c>
      <c r="F14" s="2">
        <v>0</v>
      </c>
      <c r="G14" s="2">
        <v>0</v>
      </c>
      <c r="H14" s="2">
        <v>0</v>
      </c>
    </row>
    <row r="15" spans="4:8" x14ac:dyDescent="0.25">
      <c r="D15" s="2">
        <v>12</v>
      </c>
      <c r="E15" s="2">
        <v>6</v>
      </c>
      <c r="F15" s="2">
        <v>0</v>
      </c>
      <c r="G15" s="2">
        <v>0</v>
      </c>
      <c r="H15" s="2">
        <v>0</v>
      </c>
    </row>
    <row r="16" spans="4:8" x14ac:dyDescent="0.25">
      <c r="D16" s="2">
        <v>13</v>
      </c>
      <c r="E16" s="2">
        <v>1</v>
      </c>
      <c r="F16" s="2">
        <v>0</v>
      </c>
      <c r="G16" s="2">
        <v>0</v>
      </c>
      <c r="H16" s="2">
        <v>0</v>
      </c>
    </row>
    <row r="17" spans="4:9" ht="34.5" customHeight="1" x14ac:dyDescent="0.25">
      <c r="D17" s="5"/>
      <c r="E17" s="5">
        <f>SUM(E4:E16)</f>
        <v>72</v>
      </c>
      <c r="F17" s="5">
        <f t="shared" ref="F17:H17" si="0">SUM(F4:F16)</f>
        <v>23</v>
      </c>
      <c r="G17" s="5">
        <f t="shared" si="0"/>
        <v>25</v>
      </c>
      <c r="H17" s="5">
        <f t="shared" si="0"/>
        <v>6</v>
      </c>
      <c r="I17" s="4"/>
    </row>
    <row r="18" spans="4:9" ht="29.25" customHeight="1" x14ac:dyDescent="0.25">
      <c r="D18" s="5" t="s">
        <v>6</v>
      </c>
      <c r="E18" s="5">
        <v>13</v>
      </c>
      <c r="F18" s="5">
        <v>6</v>
      </c>
      <c r="G18" s="5">
        <v>3</v>
      </c>
      <c r="H18" s="5">
        <v>1</v>
      </c>
      <c r="I18" s="4"/>
    </row>
    <row r="19" spans="4:9" x14ac:dyDescent="0.25">
      <c r="D19" s="1"/>
      <c r="E19" s="1"/>
      <c r="F19" s="1"/>
      <c r="G19" s="1"/>
      <c r="H19" s="1"/>
    </row>
  </sheetData>
  <mergeCells count="1">
    <mergeCell ref="E2:H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Propuesta de operación</vt:lpstr>
      <vt:lpstr>Costos mantener</vt:lpstr>
      <vt:lpstr>Costos ordenar</vt:lpstr>
      <vt:lpstr>Tiempos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jaimetrujillo20212@outlook.es</dc:creator>
  <cp:lastModifiedBy>jaimetrujillo20212@outlook.es</cp:lastModifiedBy>
  <dcterms:created xsi:type="dcterms:W3CDTF">2022-05-07T19:20:30Z</dcterms:created>
  <dcterms:modified xsi:type="dcterms:W3CDTF">2022-05-09T10:06:25Z</dcterms:modified>
</cp:coreProperties>
</file>