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C:\Users\Edwin\Dropbox\ESTUDIOS\UAN\10 SEMESTRE\PROYECTO DE GRADO\Tesis 2022 final\DOCUMENTOS ENTREGA DE TESIS\ARCHIVOS SUBIDOS\"/>
    </mc:Choice>
  </mc:AlternateContent>
  <bookViews>
    <workbookView xWindow="0" yWindow="0" windowWidth="23040" windowHeight="9192" tabRatio="834" activeTab="4"/>
  </bookViews>
  <sheets>
    <sheet name="Analisis 3 años de proyecto" sheetId="1" r:id="rId1"/>
    <sheet name="datos  de costos y cantidades" sheetId="2" r:id="rId2"/>
    <sheet name="Tabla" sheetId="3" r:id="rId3"/>
    <sheet name="ExportarAExcel" sheetId="4" r:id="rId4"/>
    <sheet name="Punto de equilibrio." sheetId="5" r:id="rId5"/>
  </sheets>
  <definedNames>
    <definedName name="ExportarAExcel">ExportarAExcel!$A$1:$O$78</definedName>
  </definedNames>
  <calcPr calcId="162913"/>
  <pivotCaches>
    <pivotCache cacheId="0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B612" i="3" l="1"/>
  <c r="K47" i="1" l="1"/>
  <c r="C42" i="1" l="1"/>
  <c r="C39" i="1"/>
  <c r="C38" i="1"/>
  <c r="L72" i="1"/>
  <c r="L71" i="1"/>
  <c r="L70" i="1"/>
  <c r="H2" i="2" l="1"/>
  <c r="C40" i="1"/>
  <c r="D40" i="1" s="1"/>
  <c r="E40" i="1" s="1"/>
  <c r="C52" i="1"/>
  <c r="C68" i="1" s="1"/>
  <c r="C49" i="1"/>
  <c r="L54" i="1"/>
  <c r="M54" i="1" s="1"/>
  <c r="L53" i="1"/>
  <c r="N53" i="1" s="1"/>
  <c r="C50" i="1"/>
  <c r="C53" i="1"/>
  <c r="C65" i="1"/>
  <c r="C47" i="1"/>
  <c r="C48" i="1"/>
  <c r="I3" i="2"/>
  <c r="K3" i="2" s="1"/>
  <c r="I4" i="2"/>
  <c r="I5" i="2"/>
  <c r="K5" i="2" s="1"/>
  <c r="I6" i="2"/>
  <c r="I7" i="2"/>
  <c r="I8" i="2"/>
  <c r="I2" i="2"/>
  <c r="J6" i="2"/>
  <c r="J8" i="2"/>
  <c r="H8" i="2"/>
  <c r="K8" i="2" s="1"/>
  <c r="H7" i="2"/>
  <c r="J7" i="2" s="1"/>
  <c r="H6" i="2"/>
  <c r="K6" i="2" s="1"/>
  <c r="H5" i="2"/>
  <c r="J5" i="2" s="1"/>
  <c r="H4" i="2"/>
  <c r="K4" i="2" s="1"/>
  <c r="H3" i="2"/>
  <c r="J3" i="2" s="1"/>
  <c r="J2" i="2"/>
  <c r="I9" i="2" l="1"/>
  <c r="D52" i="1"/>
  <c r="D68" i="1" s="1"/>
  <c r="C43" i="1"/>
  <c r="C63" i="1" s="1"/>
  <c r="C64" i="1"/>
  <c r="K2" i="2"/>
  <c r="J4" i="2"/>
  <c r="K7" i="2"/>
  <c r="N54" i="1"/>
  <c r="O54" i="1" s="1"/>
  <c r="E52" i="1" l="1"/>
  <c r="E68" i="1" s="1"/>
  <c r="Q47" i="1" l="1"/>
  <c r="P47" i="1"/>
  <c r="W47" i="1" s="1"/>
  <c r="M47" i="1"/>
  <c r="O47" i="1"/>
  <c r="V47" i="1" s="1"/>
  <c r="AC47" i="1" s="1"/>
  <c r="N47" i="1"/>
  <c r="U47" i="1" s="1"/>
  <c r="L47" i="1"/>
  <c r="L8" i="1"/>
  <c r="L16" i="1" s="1"/>
  <c r="L24" i="1" s="1"/>
  <c r="L9" i="1"/>
  <c r="L17" i="1" s="1"/>
  <c r="L25" i="1" s="1"/>
  <c r="L10" i="1"/>
  <c r="L18" i="1" s="1"/>
  <c r="L26" i="1" s="1"/>
  <c r="L11" i="1"/>
  <c r="L19" i="1" s="1"/>
  <c r="L27" i="1" s="1"/>
  <c r="L12" i="1"/>
  <c r="L20" i="1" s="1"/>
  <c r="L28" i="1" s="1"/>
  <c r="L13" i="1"/>
  <c r="L21" i="1" s="1"/>
  <c r="L29" i="1" s="1"/>
  <c r="L7" i="1"/>
  <c r="L15" i="1" s="1"/>
  <c r="L23" i="1" s="1"/>
  <c r="K8" i="1"/>
  <c r="K16" i="1" s="1"/>
  <c r="K24" i="1" s="1"/>
  <c r="Z35" i="1" s="1"/>
  <c r="Z36" i="1" s="1"/>
  <c r="K9" i="1"/>
  <c r="K17" i="1" s="1"/>
  <c r="K10" i="1"/>
  <c r="N35" i="1" s="1"/>
  <c r="N36" i="1" s="1"/>
  <c r="U37" i="1" s="1"/>
  <c r="K11" i="1"/>
  <c r="O35" i="1" s="1"/>
  <c r="O36" i="1" s="1"/>
  <c r="V37" i="1" s="1"/>
  <c r="K12" i="1"/>
  <c r="P35" i="1" s="1"/>
  <c r="P36" i="1" s="1"/>
  <c r="W37" i="1" s="1"/>
  <c r="K13" i="1"/>
  <c r="Q35" i="1" s="1"/>
  <c r="Q36" i="1" s="1"/>
  <c r="X37" i="1" s="1"/>
  <c r="K7" i="1"/>
  <c r="K35" i="1" s="1"/>
  <c r="K36" i="1" s="1"/>
  <c r="C9" i="2"/>
  <c r="D9" i="2"/>
  <c r="E9" i="2"/>
  <c r="F9" i="2"/>
  <c r="H9" i="2"/>
  <c r="J9" i="2"/>
  <c r="K9" i="2"/>
  <c r="B9" i="2"/>
  <c r="T47" i="1" l="1"/>
  <c r="AA47" i="1" s="1"/>
  <c r="R47" i="1"/>
  <c r="Y47" i="1" s="1"/>
  <c r="S47" i="1"/>
  <c r="Z47" i="1" s="1"/>
  <c r="AB47" i="1"/>
  <c r="AD47" i="1"/>
  <c r="X47" i="1"/>
  <c r="K15" i="1"/>
  <c r="K23" i="1" s="1"/>
  <c r="Y35" i="1" s="1"/>
  <c r="Y36" i="1" s="1"/>
  <c r="Q38" i="1"/>
  <c r="Q43" i="1" s="1"/>
  <c r="R37" i="1"/>
  <c r="P38" i="1"/>
  <c r="P43" i="1" s="1"/>
  <c r="O38" i="1"/>
  <c r="O43" i="1" s="1"/>
  <c r="N38" i="1"/>
  <c r="N43" i="1" s="1"/>
  <c r="K21" i="1"/>
  <c r="K20" i="1"/>
  <c r="M20" i="1" s="1"/>
  <c r="K19" i="1"/>
  <c r="M19" i="1" s="1"/>
  <c r="T35" i="1"/>
  <c r="K25" i="1"/>
  <c r="AA35" i="1" s="1"/>
  <c r="M35" i="1"/>
  <c r="K18" i="1"/>
  <c r="L35" i="1"/>
  <c r="M24" i="1"/>
  <c r="M13" i="1"/>
  <c r="M9" i="1"/>
  <c r="M10" i="1"/>
  <c r="M16" i="1"/>
  <c r="M8" i="1"/>
  <c r="M12" i="1"/>
  <c r="M11" i="1"/>
  <c r="M17" i="1"/>
  <c r="K38" i="1" l="1"/>
  <c r="K43" i="1" s="1"/>
  <c r="K44" i="1" s="1"/>
  <c r="P44" i="1"/>
  <c r="P46" i="1" s="1"/>
  <c r="P48" i="1" s="1"/>
  <c r="O44" i="1"/>
  <c r="O46" i="1" s="1"/>
  <c r="O48" i="1" s="1"/>
  <c r="Q44" i="1"/>
  <c r="Q46" i="1" s="1"/>
  <c r="Q48" i="1" s="1"/>
  <c r="AE47" i="1"/>
  <c r="N44" i="1"/>
  <c r="N46" i="1" s="1"/>
  <c r="N48" i="1" s="1"/>
  <c r="M23" i="1"/>
  <c r="M15" i="1"/>
  <c r="M25" i="1"/>
  <c r="L36" i="1"/>
  <c r="M36" i="1"/>
  <c r="AA36" i="1"/>
  <c r="T36" i="1"/>
  <c r="X35" i="1"/>
  <c r="K29" i="1"/>
  <c r="V35" i="1"/>
  <c r="K27" i="1"/>
  <c r="M21" i="1"/>
  <c r="W35" i="1"/>
  <c r="K28" i="1"/>
  <c r="K26" i="1"/>
  <c r="U35" i="1"/>
  <c r="M18" i="1"/>
  <c r="M38" i="1" l="1"/>
  <c r="M43" i="1" s="1"/>
  <c r="M44" i="1" s="1"/>
  <c r="T37" i="1"/>
  <c r="T38" i="1" s="1"/>
  <c r="T43" i="1" s="1"/>
  <c r="T44" i="1" s="1"/>
  <c r="T46" i="1" s="1"/>
  <c r="T48" i="1" s="1"/>
  <c r="L38" i="1"/>
  <c r="L43" i="1" s="1"/>
  <c r="L44" i="1" s="1"/>
  <c r="S37" i="1"/>
  <c r="AA37" i="1"/>
  <c r="AA38" i="1" s="1"/>
  <c r="AA43" i="1" s="1"/>
  <c r="AA44" i="1" s="1"/>
  <c r="AA46" i="1" s="1"/>
  <c r="AA48" i="1" s="1"/>
  <c r="V36" i="1"/>
  <c r="M22" i="1"/>
  <c r="L62" i="1" s="1"/>
  <c r="W36" i="1"/>
  <c r="U36" i="1"/>
  <c r="X36" i="1"/>
  <c r="AC35" i="1"/>
  <c r="M27" i="1"/>
  <c r="AE35" i="1"/>
  <c r="M29" i="1"/>
  <c r="M28" i="1"/>
  <c r="AD35" i="1"/>
  <c r="AB35" i="1"/>
  <c r="M26" i="1"/>
  <c r="L46" i="1" l="1"/>
  <c r="L48" i="1" s="1"/>
  <c r="M46" i="1"/>
  <c r="M48" i="1" s="1"/>
  <c r="X38" i="1"/>
  <c r="X43" i="1" s="1"/>
  <c r="X44" i="1" s="1"/>
  <c r="X46" i="1" s="1"/>
  <c r="X48" i="1" s="1"/>
  <c r="AE37" i="1"/>
  <c r="U38" i="1"/>
  <c r="U43" i="1" s="1"/>
  <c r="U44" i="1" s="1"/>
  <c r="U46" i="1" s="1"/>
  <c r="U48" i="1" s="1"/>
  <c r="AB37" i="1"/>
  <c r="W38" i="1"/>
  <c r="W43" i="1" s="1"/>
  <c r="W44" i="1" s="1"/>
  <c r="W46" i="1" s="1"/>
  <c r="W48" i="1" s="1"/>
  <c r="AD37" i="1"/>
  <c r="V38" i="1"/>
  <c r="V43" i="1" s="1"/>
  <c r="V44" i="1" s="1"/>
  <c r="V46" i="1" s="1"/>
  <c r="V48" i="1" s="1"/>
  <c r="AC37" i="1"/>
  <c r="AB36" i="1"/>
  <c r="AE36" i="1"/>
  <c r="AD36" i="1"/>
  <c r="AC36" i="1"/>
  <c r="M30" i="1"/>
  <c r="M62" i="1" s="1"/>
  <c r="AB38" i="1" l="1"/>
  <c r="AB43" i="1" s="1"/>
  <c r="AB44" i="1" s="1"/>
  <c r="AB46" i="1" s="1"/>
  <c r="AB48" i="1" s="1"/>
  <c r="AE38" i="1"/>
  <c r="AE43" i="1" s="1"/>
  <c r="AE44" i="1" s="1"/>
  <c r="AE46" i="1" s="1"/>
  <c r="AE48" i="1" s="1"/>
  <c r="AD38" i="1"/>
  <c r="AD43" i="1" s="1"/>
  <c r="AD44" i="1" s="1"/>
  <c r="AD46" i="1" s="1"/>
  <c r="AD48" i="1" s="1"/>
  <c r="AC38" i="1"/>
  <c r="AC43" i="1" s="1"/>
  <c r="AC44" i="1" s="1"/>
  <c r="AC46" i="1" s="1"/>
  <c r="AC48" i="1" s="1"/>
  <c r="C18" i="1" l="1"/>
  <c r="C21" i="1" s="1"/>
  <c r="D38" i="1"/>
  <c r="D39" i="1"/>
  <c r="D41" i="1"/>
  <c r="E41" i="1" s="1"/>
  <c r="D42" i="1"/>
  <c r="D47" i="1"/>
  <c r="K55" i="1"/>
  <c r="D50" i="1"/>
  <c r="E50" i="1" s="1"/>
  <c r="C51" i="1"/>
  <c r="D53" i="1"/>
  <c r="E53" i="1" s="1"/>
  <c r="D51" i="1" l="1"/>
  <c r="C67" i="1"/>
  <c r="E39" i="1"/>
  <c r="E65" i="1" s="1"/>
  <c r="D65" i="1"/>
  <c r="E38" i="1"/>
  <c r="E64" i="1" s="1"/>
  <c r="D64" i="1"/>
  <c r="D49" i="1"/>
  <c r="C66" i="1"/>
  <c r="M53" i="1"/>
  <c r="M55" i="1" s="1"/>
  <c r="E42" i="1"/>
  <c r="D43" i="1"/>
  <c r="D63" i="1" s="1"/>
  <c r="L55" i="1"/>
  <c r="L56" i="1" s="1"/>
  <c r="L57" i="1" s="1"/>
  <c r="N55" i="1"/>
  <c r="M7" i="1"/>
  <c r="M14" i="1" s="1"/>
  <c r="K62" i="1" s="1"/>
  <c r="C54" i="1"/>
  <c r="D48" i="1"/>
  <c r="E48" i="1" s="1"/>
  <c r="E47" i="1"/>
  <c r="E49" i="1" l="1"/>
  <c r="E66" i="1" s="1"/>
  <c r="D66" i="1"/>
  <c r="E43" i="1"/>
  <c r="E63" i="1" s="1"/>
  <c r="E51" i="1"/>
  <c r="E67" i="1" s="1"/>
  <c r="D67" i="1"/>
  <c r="O53" i="1"/>
  <c r="M56" i="1"/>
  <c r="M57" i="1" s="1"/>
  <c r="N56" i="1"/>
  <c r="N57" i="1" s="1"/>
  <c r="S35" i="1"/>
  <c r="R35" i="1"/>
  <c r="D54" i="1"/>
  <c r="O55" i="1" l="1"/>
  <c r="C62" i="1" s="1"/>
  <c r="R36" i="1"/>
  <c r="S36" i="1"/>
  <c r="S38" i="1" s="1"/>
  <c r="O56" i="1" l="1"/>
  <c r="S43" i="1"/>
  <c r="S44" i="1" s="1"/>
  <c r="S46" i="1" s="1"/>
  <c r="S48" i="1" s="1"/>
  <c r="Z37" i="1"/>
  <c r="Z38" i="1" s="1"/>
  <c r="Z43" i="1" s="1"/>
  <c r="Z44" i="1" s="1"/>
  <c r="Z46" i="1" s="1"/>
  <c r="Z48" i="1" s="1"/>
  <c r="R38" i="1"/>
  <c r="R43" i="1" s="1"/>
  <c r="R44" i="1" s="1"/>
  <c r="Y37" i="1"/>
  <c r="Y38" i="1" s="1"/>
  <c r="Y43" i="1" s="1"/>
  <c r="Y44" i="1" s="1"/>
  <c r="E54" i="1"/>
  <c r="K46" i="1"/>
  <c r="O57" i="1" l="1"/>
  <c r="E62" i="1" s="1"/>
  <c r="D62" i="1"/>
  <c r="R46" i="1"/>
  <c r="R48" i="1" s="1"/>
  <c r="R49" i="1" s="1"/>
  <c r="D31" i="1" s="1"/>
  <c r="Y46" i="1"/>
  <c r="Y48" i="1" s="1"/>
  <c r="Y49" i="1" s="1"/>
  <c r="E31" i="1" s="1"/>
  <c r="K48" i="1"/>
  <c r="K49" i="1" s="1"/>
  <c r="C31" i="1" s="1"/>
  <c r="C32" i="1" s="1"/>
  <c r="D33" i="1" s="1"/>
  <c r="E32" i="1" l="1"/>
  <c r="E60" i="1" s="1"/>
  <c r="D32" i="1"/>
  <c r="D34" i="1" s="1"/>
  <c r="D60" i="1" l="1"/>
  <c r="E33" i="1"/>
  <c r="E34" i="1" s="1"/>
  <c r="E59" i="1" s="1"/>
  <c r="D59" i="1"/>
  <c r="C60" i="1"/>
  <c r="C34" i="1"/>
  <c r="C59" i="1" s="1"/>
  <c r="C61" i="1" s="1"/>
  <c r="C70" i="1" s="1"/>
  <c r="C71" i="1" l="1"/>
  <c r="D69" i="1" s="1"/>
  <c r="D61" i="1"/>
  <c r="D70" i="1" s="1"/>
  <c r="E61" i="1"/>
  <c r="E70" i="1" s="1"/>
  <c r="E71" i="1" s="1"/>
  <c r="E72" i="1" s="1"/>
  <c r="M61" i="1" s="1"/>
  <c r="M63" i="1" s="1"/>
  <c r="K72" i="1" s="1"/>
  <c r="M72" i="1" s="1"/>
  <c r="C72" i="1" l="1"/>
  <c r="K61" i="1" s="1"/>
  <c r="K63" i="1" s="1"/>
  <c r="K70" i="1" s="1"/>
  <c r="M70" i="1" s="1"/>
  <c r="D71" i="1"/>
  <c r="E69" i="1" s="1"/>
  <c r="D72" i="1" l="1"/>
  <c r="L61" i="1" s="1"/>
  <c r="L63" i="1" s="1"/>
  <c r="K71" i="1" s="1"/>
  <c r="L94" i="1" s="1"/>
  <c r="L101" i="1" l="1"/>
  <c r="L93" i="1"/>
  <c r="L83" i="1"/>
  <c r="L103" i="1"/>
  <c r="L95" i="1"/>
  <c r="L87" i="1"/>
  <c r="L97" i="1"/>
  <c r="L99" i="1"/>
  <c r="L85" i="1"/>
  <c r="L98" i="1"/>
  <c r="M71" i="1"/>
  <c r="M73" i="1"/>
  <c r="L82" i="1"/>
  <c r="L77" i="1"/>
  <c r="L102" i="1"/>
  <c r="L92" i="1"/>
  <c r="L90" i="1"/>
  <c r="L84" i="1"/>
  <c r="L96" i="1"/>
  <c r="L86" i="1"/>
  <c r="L100" i="1"/>
  <c r="L88" i="1"/>
  <c r="L89" i="1"/>
  <c r="L91" i="1"/>
</calcChain>
</file>

<file path=xl/sharedStrings.xml><?xml version="1.0" encoding="utf-8"?>
<sst xmlns="http://schemas.openxmlformats.org/spreadsheetml/2006/main" count="1277" uniqueCount="535">
  <si>
    <t>Utilidad del ejercicio</t>
  </si>
  <si>
    <t>Año 3</t>
  </si>
  <si>
    <t>Año 2</t>
  </si>
  <si>
    <t>Año 1</t>
  </si>
  <si>
    <t>Gastos generales de admon</t>
  </si>
  <si>
    <t>Arrendamientos</t>
  </si>
  <si>
    <t>Utilidad antes de impuestos</t>
  </si>
  <si>
    <t>Utilidad operacional</t>
  </si>
  <si>
    <t>Costo de producción</t>
  </si>
  <si>
    <t>(-) Inv. final de productos en proceso</t>
  </si>
  <si>
    <t>Costo de fabricación</t>
  </si>
  <si>
    <t>(+) Inv. inicial de productos en proceso</t>
  </si>
  <si>
    <t xml:space="preserve">      Costos varios</t>
  </si>
  <si>
    <t xml:space="preserve">      Impuestos diferentes a los de renta</t>
  </si>
  <si>
    <t xml:space="preserve">      Depreciación edificio y maquin.</t>
  </si>
  <si>
    <t xml:space="preserve">      Mantenimiento de maquinaria</t>
  </si>
  <si>
    <t xml:space="preserve">      Servicios públicos</t>
  </si>
  <si>
    <t>(+) Costos indirectos de fabricación:</t>
  </si>
  <si>
    <t>(+) Costo de mano de obra directa</t>
  </si>
  <si>
    <t>Costo de materia prima utilizada</t>
  </si>
  <si>
    <t>(-) Inventario final de materia prima</t>
  </si>
  <si>
    <t>Total</t>
  </si>
  <si>
    <t>(+) Compras de materia prima</t>
  </si>
  <si>
    <t>Inventario inicial de materia prima</t>
  </si>
  <si>
    <t>10.   ESTADO DE COSTO DE PRODUCCION PROYECTADO</t>
  </si>
  <si>
    <t xml:space="preserve">Total </t>
  </si>
  <si>
    <t>Publicidad y otros</t>
  </si>
  <si>
    <t>Provisión para deudas</t>
  </si>
  <si>
    <t>Sueldos de ventas</t>
  </si>
  <si>
    <t>Depreciación de mueb.y ens.</t>
  </si>
  <si>
    <t>Sueldos de administración</t>
  </si>
  <si>
    <t>Operarios</t>
  </si>
  <si>
    <t>Supervisores</t>
  </si>
  <si>
    <t>7.   PRESUPUESTO DE GASTOS DE ADMON Y VENTAS</t>
  </si>
  <si>
    <t>Cesantías**</t>
  </si>
  <si>
    <t>Prestaciones*</t>
  </si>
  <si>
    <t>Salario básico año</t>
  </si>
  <si>
    <t>Cantidad</t>
  </si>
  <si>
    <t>Cargo</t>
  </si>
  <si>
    <t>Año</t>
  </si>
  <si>
    <t>5.   PRESUPUESTO DE MANO DE OBRA</t>
  </si>
  <si>
    <t xml:space="preserve">Gastos varios   </t>
  </si>
  <si>
    <t>Costo total:</t>
  </si>
  <si>
    <t>Impuestos diferentes a renta</t>
  </si>
  <si>
    <t>(=): Costo total de MP</t>
  </si>
  <si>
    <t xml:space="preserve">Depreciación       </t>
  </si>
  <si>
    <t>(x): Costo de MP/Udd</t>
  </si>
  <si>
    <t>Mantenimiento maquinaria</t>
  </si>
  <si>
    <t>Udds que requieren MP</t>
  </si>
  <si>
    <t>Servicios públicos</t>
  </si>
  <si>
    <t>Menos: IIPP</t>
  </si>
  <si>
    <t>Más: IFPP (5 días)</t>
  </si>
  <si>
    <t>6.   PRESUPUESTO COSTOS INDIRECTOS DE FABRICACION (CIF)</t>
  </si>
  <si>
    <t>Unidades a producir</t>
  </si>
  <si>
    <t>Compras necesarias de M.P.</t>
  </si>
  <si>
    <t xml:space="preserve">   Menos:   I.I. de M.P.</t>
  </si>
  <si>
    <t>3.   PRESUPUESTO DE CONSUMO DE MATERIA PRIMA</t>
  </si>
  <si>
    <t xml:space="preserve">   Más: I.F. (1 mes) de M.P.</t>
  </si>
  <si>
    <t xml:space="preserve"> Total M.P. a consumir</t>
  </si>
  <si>
    <t>Menos: IIPT</t>
  </si>
  <si>
    <t>4.   PRESUPUESTO DE COMPRA DE MATERIA PRIMA</t>
  </si>
  <si>
    <t>Más: IFPT (25 días)</t>
  </si>
  <si>
    <t>Unidades a vender</t>
  </si>
  <si>
    <t xml:space="preserve"> Provisión Impuesto de Renta</t>
  </si>
  <si>
    <t xml:space="preserve"> Año 2</t>
  </si>
  <si>
    <t xml:space="preserve"> Año 1</t>
  </si>
  <si>
    <t>2.   PRESUPUESTO DE PRODUCCION (Unidades)</t>
  </si>
  <si>
    <t xml:space="preserve"> Otros gastos</t>
  </si>
  <si>
    <t xml:space="preserve"> Otros ingresos</t>
  </si>
  <si>
    <t xml:space="preserve">   Publicidad y otros gastos</t>
  </si>
  <si>
    <t xml:space="preserve">   Sueldos de ventas</t>
  </si>
  <si>
    <t xml:space="preserve">   Gastos de admon.</t>
  </si>
  <si>
    <t xml:space="preserve">   Deprec. De muebles y ens.</t>
  </si>
  <si>
    <t xml:space="preserve">   Sueldos de admon</t>
  </si>
  <si>
    <t xml:space="preserve">   Arrendamientos</t>
  </si>
  <si>
    <t>Gastos de admon. y ventas</t>
  </si>
  <si>
    <t>Utilidad Operacional bruta</t>
  </si>
  <si>
    <t xml:space="preserve">   Menos: Inventario final</t>
  </si>
  <si>
    <t xml:space="preserve">   Más: Compras</t>
  </si>
  <si>
    <t xml:space="preserve">   Inventario inicial</t>
  </si>
  <si>
    <t xml:space="preserve"> Costo de ventas</t>
  </si>
  <si>
    <t xml:space="preserve"> Ingresos operacionales</t>
  </si>
  <si>
    <t>Valor total</t>
  </si>
  <si>
    <t>$ / Udd.</t>
  </si>
  <si>
    <t>Unidades</t>
  </si>
  <si>
    <t>Producto</t>
  </si>
  <si>
    <t>1. PRESUPUESTO DE VENTAS</t>
  </si>
  <si>
    <t xml:space="preserve">Estado de Resultados   </t>
  </si>
  <si>
    <t>Pantalón</t>
  </si>
  <si>
    <t>Saco Grande</t>
  </si>
  <si>
    <t>Saco Corto</t>
  </si>
  <si>
    <t>Saco</t>
  </si>
  <si>
    <t>Saco Extra Grande</t>
  </si>
  <si>
    <t>Saco Manga Rodada</t>
  </si>
  <si>
    <t>Vestido</t>
  </si>
  <si>
    <t>Costos</t>
  </si>
  <si>
    <t>COSTOS FIJOS</t>
  </si>
  <si>
    <t>MATERIALES DIRECTOS</t>
  </si>
  <si>
    <t>MANO DE OBRA</t>
  </si>
  <si>
    <t>MATERIALES INDIRECTOS</t>
  </si>
  <si>
    <t>PRECIO DE VENTA UNIDAD</t>
  </si>
  <si>
    <t>Q OPTIMO</t>
  </si>
  <si>
    <t>UNIDADES</t>
  </si>
  <si>
    <t>TOTAL COSTOS</t>
  </si>
  <si>
    <t>TOTAL PRODUCCION</t>
  </si>
  <si>
    <t>TOTAL COSTOS2</t>
  </si>
  <si>
    <t xml:space="preserve">FLUJO DE CAJA </t>
  </si>
  <si>
    <t>COSTOS</t>
  </si>
  <si>
    <t>INGRESOS</t>
  </si>
  <si>
    <t>AÑO 1</t>
  </si>
  <si>
    <t>AÑO 2</t>
  </si>
  <si>
    <t>AÑO 3</t>
  </si>
  <si>
    <t>GANANCIAS</t>
  </si>
  <si>
    <t>PERIODO</t>
  </si>
  <si>
    <t>FNE</t>
  </si>
  <si>
    <t>(1+i)^</t>
  </si>
  <si>
    <t>tasa</t>
  </si>
  <si>
    <t>fne /(1+i)^</t>
  </si>
  <si>
    <t>VAN</t>
  </si>
  <si>
    <t>Tasa de descuento</t>
  </si>
  <si>
    <t>TIR</t>
  </si>
  <si>
    <t>VAN Valor Actual Neto</t>
  </si>
  <si>
    <t>VAN Valor actual neto</t>
  </si>
  <si>
    <t>Jukapa SAS</t>
  </si>
  <si>
    <t>TOTAL PASIVO Y PATRIMONIO</t>
  </si>
  <si>
    <t>Total general</t>
  </si>
  <si>
    <t>Total 3 PATRIMONIO</t>
  </si>
  <si>
    <t>PERDIDAS ACUMULADAS</t>
  </si>
  <si>
    <t>371005 PERDIDAS ACUMULADAS</t>
  </si>
  <si>
    <t>371005</t>
  </si>
  <si>
    <t>3710 PERDIDAS ACUMULADAS</t>
  </si>
  <si>
    <t>UTILIDADES ACUMULADAS</t>
  </si>
  <si>
    <t>370505 UTILIDADES ACUMULADAS</t>
  </si>
  <si>
    <t>370505</t>
  </si>
  <si>
    <t>3705 UTILIDADES O EXCEDENTES ACUMULADOS</t>
  </si>
  <si>
    <t>37 RESULTADOS DE EJERCICIOS ANTERIORES</t>
  </si>
  <si>
    <t>Utilidad</t>
  </si>
  <si>
    <t>360505 UTILIDAD DEL EJERCICIO</t>
  </si>
  <si>
    <t>360505</t>
  </si>
  <si>
    <t>3605 UTILIDAD DEL EJERCICIO</t>
  </si>
  <si>
    <t>36 RESULTADOS DEL EJERCICIO</t>
  </si>
  <si>
    <t>CAPITAL POR SUSCRIBIR (DB)</t>
  </si>
  <si>
    <t>310510 CAPITAL POR SUSCRIBIR (DB)</t>
  </si>
  <si>
    <t>310510</t>
  </si>
  <si>
    <t>CAPITAL AUTORIZADO</t>
  </si>
  <si>
    <t>310505 CAPITAL AUTORIZADO</t>
  </si>
  <si>
    <t>310505</t>
  </si>
  <si>
    <t>3105 CAPITAL SUSCRITO Y PAGADO</t>
  </si>
  <si>
    <t>31 CAPITAL SOCIAL</t>
  </si>
  <si>
    <t>3 PATRIMONIO</t>
  </si>
  <si>
    <t>Total 2 PASIVO</t>
  </si>
  <si>
    <t>PARA FUTURA SUSCRIPCION DE ACCIONES</t>
  </si>
  <si>
    <t>281005 PARA FUTURA SUSCRIPCION DE ACCIONES</t>
  </si>
  <si>
    <t>281005</t>
  </si>
  <si>
    <t>2810 DEPOSITOS RECIBIDOS</t>
  </si>
  <si>
    <t>28 OTROS PASIVOS</t>
  </si>
  <si>
    <t>PRIMA DE SERVICIOS</t>
  </si>
  <si>
    <t>261020 PRIMA DE SERVICIOS</t>
  </si>
  <si>
    <t>261020</t>
  </si>
  <si>
    <t>VACACIONES</t>
  </si>
  <si>
    <t>261015 VACACIONES</t>
  </si>
  <si>
    <t>261015</t>
  </si>
  <si>
    <t>INTERESES SOBRE CESANTIAS</t>
  </si>
  <si>
    <t>261010 INTERESES SOBRE CESANTIAS</t>
  </si>
  <si>
    <t>261010</t>
  </si>
  <si>
    <t>CESANTIAS</t>
  </si>
  <si>
    <t>261005 CESANTIAS</t>
  </si>
  <si>
    <t>261005</t>
  </si>
  <si>
    <t>2610 PARA OBLIGACIONES LABORALES</t>
  </si>
  <si>
    <t>26 PASIVOS ESTIMADOS Y PROVISIONES</t>
  </si>
  <si>
    <t>PRIMAS</t>
  </si>
  <si>
    <t>253005 PRIMAS</t>
  </si>
  <si>
    <t>253005</t>
  </si>
  <si>
    <t>2530 PRESTACIONES EXTRALEGALES</t>
  </si>
  <si>
    <t>252501 VACACIONES</t>
  </si>
  <si>
    <t>252501</t>
  </si>
  <si>
    <t>2525 VACACIONES CONSOLIDADAS</t>
  </si>
  <si>
    <t>252001 PRIMA DE SERVICIOS</t>
  </si>
  <si>
    <t>252001</t>
  </si>
  <si>
    <t>2520 PRIMA DE SERVICIOS</t>
  </si>
  <si>
    <t>251501 INTERESES SOBRE CESANTIAS</t>
  </si>
  <si>
    <t>251501</t>
  </si>
  <si>
    <t>2515 INTERESES SOBRE CESANTIAS</t>
  </si>
  <si>
    <t>LEY 50 DE 1990 Y NORMAS POSTERIORES</t>
  </si>
  <si>
    <t>251010 LEY 50 DE 1990 Y NORMAS POSTERIORES</t>
  </si>
  <si>
    <t>251010</t>
  </si>
  <si>
    <t>2510 CESANTIAS CONSOLIDADAS</t>
  </si>
  <si>
    <t>25 OBLIGACIONES LABORALES</t>
  </si>
  <si>
    <t>VIGENCIA FISCAL CORRIENTE</t>
  </si>
  <si>
    <t>241205 VIGENCIA FISCAL CORRIENTE</t>
  </si>
  <si>
    <t>241205</t>
  </si>
  <si>
    <t>2412 DE INDUSTRIA Y COMERCIO</t>
  </si>
  <si>
    <t>IVA POR PAGAR</t>
  </si>
  <si>
    <t>24088001 IVA POR PAGAR</t>
  </si>
  <si>
    <t>24088001</t>
  </si>
  <si>
    <t>240880 IVA POR PAGAR</t>
  </si>
  <si>
    <t>IVA POR PAGAR LIQUIDACION</t>
  </si>
  <si>
    <t>240803 IVA POR PAGAR LIQUIDACION</t>
  </si>
  <si>
    <t>240803</t>
  </si>
  <si>
    <t>IVA POR COMPRAS 5%</t>
  </si>
  <si>
    <t>24080221 IVA POR COMPRAS 5%</t>
  </si>
  <si>
    <t>24080221</t>
  </si>
  <si>
    <t>IVA POR DEVOLUCIONES EN VENTAS 19%</t>
  </si>
  <si>
    <t>24080210 IVA POR DEVOLUCIONES EN VENTAS 19%</t>
  </si>
  <si>
    <t>24080210</t>
  </si>
  <si>
    <t>IVA POR ARRENDAMIENTOS</t>
  </si>
  <si>
    <t>24080206 IVA POR ARRENDAMIENTOS</t>
  </si>
  <si>
    <t>24080206</t>
  </si>
  <si>
    <t>IVA POR HONORARIOS 19%</t>
  </si>
  <si>
    <t>24080205 IVA POR HONORARIOS 19%</t>
  </si>
  <si>
    <t>24080205</t>
  </si>
  <si>
    <t>IVA POR SERVICIOS 19%</t>
  </si>
  <si>
    <t>24080203 IVA POR SERVICIOS 19%</t>
  </si>
  <si>
    <t>24080203</t>
  </si>
  <si>
    <t>IVA POR COMPRAS 19%</t>
  </si>
  <si>
    <t>24080201 IVA POR COMPRAS 19%</t>
  </si>
  <si>
    <t>24080201</t>
  </si>
  <si>
    <t>240802 IVA DESCONTABLE</t>
  </si>
  <si>
    <t>IVA GENERADO VENTAS 19%</t>
  </si>
  <si>
    <t>24080101 IVA GENERADO VENTAS 19%</t>
  </si>
  <si>
    <t>24080101</t>
  </si>
  <si>
    <t>240801 IVA GENERADO</t>
  </si>
  <si>
    <t>2408 IMPUESTO SOBRE LAS VENTAS POR PAGAR</t>
  </si>
  <si>
    <t>240405 VIGENCIA FISCAL CORRIENTE</t>
  </si>
  <si>
    <t>240405</t>
  </si>
  <si>
    <t>2404 DE RENTA Y COMPLEMENTARIOS</t>
  </si>
  <si>
    <t>24 IMPUESTOS, GRAVAMENES Y TASAS</t>
  </si>
  <si>
    <t>PROTECCIÓN S.A. AFPC</t>
  </si>
  <si>
    <t>23803004 PROTECCIÓN S.A. AFPC</t>
  </si>
  <si>
    <t>23803004</t>
  </si>
  <si>
    <t>COLPENSIONES</t>
  </si>
  <si>
    <t>23803002 COLPENSIONES</t>
  </si>
  <si>
    <t>23803002</t>
  </si>
  <si>
    <t>COLFONDOS S.A. AFPC</t>
  </si>
  <si>
    <t>23803001 COLFONDOS S.A. AFPC</t>
  </si>
  <si>
    <t>23803001</t>
  </si>
  <si>
    <t>238030 FONDOS DE CESANTIAS Y/O PENSIONES</t>
  </si>
  <si>
    <t>2380 ACREEDORES VARIOS</t>
  </si>
  <si>
    <t>CAJA COLOMBIANA DE SUBSIDIO FAMILIAR COLSUBSIDIO</t>
  </si>
  <si>
    <t>23701001 CAJA COLOMBIANA DE SUBSIDIO FAMILIAR COLSUBSIDIO</t>
  </si>
  <si>
    <t>23701001</t>
  </si>
  <si>
    <t>237010 APORTES AL I.C.B.F., SENA Y CAJAS DE COMPENSACION</t>
  </si>
  <si>
    <t>ARL SURA</t>
  </si>
  <si>
    <t>23700601 ARL SURA</t>
  </si>
  <si>
    <t>23700601</t>
  </si>
  <si>
    <t>237006 APORTES  A.R.P.</t>
  </si>
  <si>
    <t>SANITAS EPS</t>
  </si>
  <si>
    <t>23700507 SANITAS EPS</t>
  </si>
  <si>
    <t>23700507</t>
  </si>
  <si>
    <t>NUEVA EPS</t>
  </si>
  <si>
    <t>23700505 NUEVA EPS</t>
  </si>
  <si>
    <t>23700505</t>
  </si>
  <si>
    <t>FAMISANAR EPS CAFAM - COLSUBSIDIO</t>
  </si>
  <si>
    <t>23700504 FAMISANAR EPS CAFAM - COLSUBSIDIO</t>
  </si>
  <si>
    <t>23700504</t>
  </si>
  <si>
    <t>237005 APORTES EPS</t>
  </si>
  <si>
    <t>2370 RETENCIONES Y APORTES DE NOMINA</t>
  </si>
  <si>
    <t>RETEICA POR PAGAR</t>
  </si>
  <si>
    <t>23688001 RETEICA POR PAGAR</t>
  </si>
  <si>
    <t>23688001</t>
  </si>
  <si>
    <t>236880 RETEICA POR PAGAR</t>
  </si>
  <si>
    <t>RETENCION DE ICA HONORARIOS</t>
  </si>
  <si>
    <t>23680103 RETENCION DE ICA HONORARIOS</t>
  </si>
  <si>
    <t>23680103</t>
  </si>
  <si>
    <t>RETENCION DE ICA SERVICIOS</t>
  </si>
  <si>
    <t>23680102 RETENCION DE ICA SERVICIOS</t>
  </si>
  <si>
    <t>23680102</t>
  </si>
  <si>
    <t>RETENCION ICA COMPRAS BOGOTA 11,04X1000</t>
  </si>
  <si>
    <t>23680101 RETENCION DE ICA COMPRAS</t>
  </si>
  <si>
    <t>23680101</t>
  </si>
  <si>
    <t>236801 ICA RETENIDO</t>
  </si>
  <si>
    <t>2368 IMPUESTO DE INDUSTRIA Y COMERCIO RETENIDO</t>
  </si>
  <si>
    <t>RETEFUENTE POR PAGAR</t>
  </si>
  <si>
    <t>23658001 RETEFUENTE POR PAGAR</t>
  </si>
  <si>
    <t>23658001</t>
  </si>
  <si>
    <t>236580 RETEFUENTE POR PAGAR</t>
  </si>
  <si>
    <t>AUTORENTA</t>
  </si>
  <si>
    <t>23657502 AUTORENTA</t>
  </si>
  <si>
    <t>23657502</t>
  </si>
  <si>
    <t>AUTORRETENCION DEL CREE</t>
  </si>
  <si>
    <t>23657501 AUTORRETENCION DEL CREE</t>
  </si>
  <si>
    <t>23657501</t>
  </si>
  <si>
    <t>236575 AUTORRETENCIONES</t>
  </si>
  <si>
    <t>RETENCION POR COMPRAS (NO DECLARANTES) 3.5%</t>
  </si>
  <si>
    <t>23654005 RETENCION POR COMPRAS (NO DECLARANTES) 3.5%</t>
  </si>
  <si>
    <t>23654005</t>
  </si>
  <si>
    <t>RETENCION POR COMPRAS (DECLARANTES) 2.5%</t>
  </si>
  <si>
    <t>23654001 RETENCION POR COMPRAS (DECLARANTES) 2.5%</t>
  </si>
  <si>
    <t>23654001</t>
  </si>
  <si>
    <t>236540 COMPRAS</t>
  </si>
  <si>
    <t>ARRENDAMIENTO BIENES MUEBLES 4%</t>
  </si>
  <si>
    <t>23653001 ARRENDAMIENTO BIENES MUEBLES 4%</t>
  </si>
  <si>
    <t>23653001</t>
  </si>
  <si>
    <t>236530 ARRENDAMIENTOS</t>
  </si>
  <si>
    <t>SERVICIOS TRANSPORTE DE CARGA 1%</t>
  </si>
  <si>
    <t>23652503 SERVICIOS TRANSPORTE DE CARGA 1%</t>
  </si>
  <si>
    <t>23652503</t>
  </si>
  <si>
    <t>SERVICIOS GENERALES DECLARANTES 4%</t>
  </si>
  <si>
    <t>23652502 SERVICIOS GENERALES DECLARANTES 4%</t>
  </si>
  <si>
    <t>23652502</t>
  </si>
  <si>
    <t>236525 SERVICIOS</t>
  </si>
  <si>
    <t>2365 RETENCION EN LA FUENTE</t>
  </si>
  <si>
    <t>23 CUENTAS POR PAGAR</t>
  </si>
  <si>
    <t>2 PASIVO</t>
  </si>
  <si>
    <t>Total 1 ACTIVO</t>
  </si>
  <si>
    <t>LICENCIAS</t>
  </si>
  <si>
    <t>171040 LICENCIAS</t>
  </si>
  <si>
    <t>171040</t>
  </si>
  <si>
    <t>1710 CARGOS DIFERIDOS</t>
  </si>
  <si>
    <t>MANTENIMIENTO EQUIPOS</t>
  </si>
  <si>
    <t>170535 MANTENIMIENTO EQUIPOS</t>
  </si>
  <si>
    <t>170535</t>
  </si>
  <si>
    <t>1705 GASTOS PAGADOS POR ANTICIPADO</t>
  </si>
  <si>
    <t>17 DIFERIDOS</t>
  </si>
  <si>
    <t>169840 LICENCIAS</t>
  </si>
  <si>
    <t>169840</t>
  </si>
  <si>
    <t>1698 AMORTIZACION ACUMULADA</t>
  </si>
  <si>
    <t>AJUSTES POR INFLACION</t>
  </si>
  <si>
    <t>163599 AJUSTES POR INFLACION</t>
  </si>
  <si>
    <t>163599</t>
  </si>
  <si>
    <t>LICENCIA SOFTWARE CONTABLE</t>
  </si>
  <si>
    <t>163501 LICENCIA SOFTWARE CONTABLE</t>
  </si>
  <si>
    <t>163501</t>
  </si>
  <si>
    <t>1635 LICENCIAS</t>
  </si>
  <si>
    <t>16 INTANGIBLES</t>
  </si>
  <si>
    <t>EQUIPO DE COMPUTACION Y COMUNICACION</t>
  </si>
  <si>
    <t>159220 EQUIPO DE COMPUTACION Y COMUNICACION</t>
  </si>
  <si>
    <t>159220</t>
  </si>
  <si>
    <t>EQUIPO DE OFICINA</t>
  </si>
  <si>
    <t>159215 EQUIPO DE OFICINA</t>
  </si>
  <si>
    <t>159215</t>
  </si>
  <si>
    <t>MAQUINARIA Y EQUIPO</t>
  </si>
  <si>
    <t>159210 MAQUINARIA Y EQUIPO</t>
  </si>
  <si>
    <t>159210</t>
  </si>
  <si>
    <t>1592 DEPRECIACION ACUMULADA</t>
  </si>
  <si>
    <t>OTROS</t>
  </si>
  <si>
    <t>152495 OTROS</t>
  </si>
  <si>
    <t>152495</t>
  </si>
  <si>
    <t>EQUIPOS</t>
  </si>
  <si>
    <t>152410 EQUIPOS</t>
  </si>
  <si>
    <t>152410</t>
  </si>
  <si>
    <t>MUEBLES Y ENSERES</t>
  </si>
  <si>
    <t>152405 MUEBLES Y ENSERES</t>
  </si>
  <si>
    <t>152405</t>
  </si>
  <si>
    <t>1524 EQUIPO DE OFICINA</t>
  </si>
  <si>
    <t>152005 MAQUINARIA Y EQUIPO</t>
  </si>
  <si>
    <t>152005</t>
  </si>
  <si>
    <t>1520 MAQUINARIA Y EQUIPO</t>
  </si>
  <si>
    <t>151210 EQUIPO DE OFICINA</t>
  </si>
  <si>
    <t>151210</t>
  </si>
  <si>
    <t>1512 MAQUINARIA Y EQUIPOS EN MONTAJE</t>
  </si>
  <si>
    <t>15 PROPIEDADES PLANTA Y EQUIPO</t>
  </si>
  <si>
    <t>MERCANCIAS NO FABRICADAS POR LA EMPRESA</t>
  </si>
  <si>
    <t>1435 MERCANCIAS NO FABRICADAS POR LA EMPRESA</t>
  </si>
  <si>
    <t>1435</t>
  </si>
  <si>
    <t>MATERIAS PRIMAS</t>
  </si>
  <si>
    <t>1405 MATERIAS PRIMAS</t>
  </si>
  <si>
    <t>1405</t>
  </si>
  <si>
    <t>14 INVENTARIOS</t>
  </si>
  <si>
    <t>RETENCION DE ICA VENTA DE SERVICIOS DE TRANSPORTE</t>
  </si>
  <si>
    <t>13551805 RETENCION DE ICA VENTA DE SERVICIOS DE TRANSPORTE</t>
  </si>
  <si>
    <t>13551805</t>
  </si>
  <si>
    <t>RETENCION ICA SERVICIOS 11,04X1000</t>
  </si>
  <si>
    <t>13551802 RETENCION ICA SERVICIOS 11,04X1000</t>
  </si>
  <si>
    <t>13551802</t>
  </si>
  <si>
    <t>RETENCION DE ICA POR VENTA DE PRODUCTOS</t>
  </si>
  <si>
    <t>13551801 RETENCION DE ICA POR VENTA DE PRODUCTOS</t>
  </si>
  <si>
    <t>13551801</t>
  </si>
  <si>
    <t>135518 IMPUESTO DE INDUSTRIA Y COMERCIO RETENIDO</t>
  </si>
  <si>
    <t>RETENCION DE IVA POR VENTA DE SERVICIOS</t>
  </si>
  <si>
    <t>13551702 RETENCION DE IVA POR VENTA DE SERVICIOS</t>
  </si>
  <si>
    <t>13551702</t>
  </si>
  <si>
    <t>RETENCION DE IVA POR VENTA DE PRODUCTOS</t>
  </si>
  <si>
    <t>13551701 RETENCION DE IVA POR VENTA DE PRODUCTOS</t>
  </si>
  <si>
    <t>13551701</t>
  </si>
  <si>
    <t>135517 IMPUESTO A LAS VENTAS RETENIDO</t>
  </si>
  <si>
    <t>13551511 AUTORRETENCION DEL CREE</t>
  </si>
  <si>
    <t>13551511</t>
  </si>
  <si>
    <t>RETENCION VENTA SERVICIOS 4%</t>
  </si>
  <si>
    <t>13551502 RETENCION VENTA SERVICIOS 4%</t>
  </si>
  <si>
    <t>13551502</t>
  </si>
  <si>
    <t>RETENCION DEBITO POR VENTAS DE PRODUCTOS</t>
  </si>
  <si>
    <t>13551501 RETENCION DEBITO POR VENTAS DE PRODUCTOS</t>
  </si>
  <si>
    <t>13551501</t>
  </si>
  <si>
    <t>135515 RETENCION EN LA FUENTE</t>
  </si>
  <si>
    <t>1355 ANTICIPO DE IMPUESTOS Y CONTRIBUCIONES O SALDOS A FAVOR</t>
  </si>
  <si>
    <t>A TRABAJADORES</t>
  </si>
  <si>
    <t>133015 A TRABAJADORES</t>
  </si>
  <si>
    <t>133015</t>
  </si>
  <si>
    <t>A PROVEEDORES</t>
  </si>
  <si>
    <t>133005 A PROVEEDORES</t>
  </si>
  <si>
    <t>133005</t>
  </si>
  <si>
    <t>1330 ANTICIPOS Y AVANCES</t>
  </si>
  <si>
    <t>DEUDORES NACIONALES</t>
  </si>
  <si>
    <t>13050501 DEUDORES NACIONALES</t>
  </si>
  <si>
    <t>13050501</t>
  </si>
  <si>
    <t>130505 NACIONALES</t>
  </si>
  <si>
    <t>1305 CLIENTES</t>
  </si>
  <si>
    <t>13 DEUDORES</t>
  </si>
  <si>
    <t>Banco Caja Social Ahorros N° 04097016500</t>
  </si>
  <si>
    <t>11200501 Banco Caja Social Ahorros N° 04097016500</t>
  </si>
  <si>
    <t>11200501</t>
  </si>
  <si>
    <t>112005 BANCOS</t>
  </si>
  <si>
    <t>1120 CUENTAS DE AHORRO</t>
  </si>
  <si>
    <t>BANCO BANCOLOMBIA</t>
  </si>
  <si>
    <t>11100503 BANCO BANCOLOMBIA</t>
  </si>
  <si>
    <t>11100503</t>
  </si>
  <si>
    <t>BANCO CAJA SOCIAL</t>
  </si>
  <si>
    <t>11100502 BANCO CAJA SOCIAL</t>
  </si>
  <si>
    <t>11100502</t>
  </si>
  <si>
    <t>111005 MONEDA NACIONAL</t>
  </si>
  <si>
    <t>1110 BANCOS</t>
  </si>
  <si>
    <t>CAJA MENOR GERENCIA</t>
  </si>
  <si>
    <t>11051001 CAJA MENOR GERENCIA</t>
  </si>
  <si>
    <t>11051001</t>
  </si>
  <si>
    <t>110510 CAJAS MENORES</t>
  </si>
  <si>
    <t>CAJA GENERAL</t>
  </si>
  <si>
    <t>11050501 CAJA GENERAL</t>
  </si>
  <si>
    <t>11050501</t>
  </si>
  <si>
    <t>110505 CAJA GENERAL</t>
  </si>
  <si>
    <t>1105 CAJA</t>
  </si>
  <si>
    <t>11 DISPONIBLE</t>
  </si>
  <si>
    <t>1 ACTIVO</t>
  </si>
  <si>
    <t xml:space="preserve">Elaborado Bajo Normas Locales  </t>
  </si>
  <si>
    <t>Balance General con cierre al 31/12/2021</t>
  </si>
  <si>
    <t>NIT 901224892-3</t>
  </si>
  <si>
    <t>JUKAPA SAS</t>
  </si>
  <si>
    <t>3710</t>
  </si>
  <si>
    <t>37</t>
  </si>
  <si>
    <t>3</t>
  </si>
  <si>
    <t>3705</t>
  </si>
  <si>
    <t>3605</t>
  </si>
  <si>
    <t>36</t>
  </si>
  <si>
    <t>3105</t>
  </si>
  <si>
    <t>31</t>
  </si>
  <si>
    <t>2810</t>
  </si>
  <si>
    <t>28</t>
  </si>
  <si>
    <t>2</t>
  </si>
  <si>
    <t>2610</t>
  </si>
  <si>
    <t>26</t>
  </si>
  <si>
    <t>2530</t>
  </si>
  <si>
    <t>25</t>
  </si>
  <si>
    <t>2525</t>
  </si>
  <si>
    <t>2520</t>
  </si>
  <si>
    <t>2515</t>
  </si>
  <si>
    <t>2510</t>
  </si>
  <si>
    <t>2412</t>
  </si>
  <si>
    <t>24</t>
  </si>
  <si>
    <t>240880</t>
  </si>
  <si>
    <t>2408</t>
  </si>
  <si>
    <t>240802</t>
  </si>
  <si>
    <t>240801</t>
  </si>
  <si>
    <t>2404</t>
  </si>
  <si>
    <t>238030</t>
  </si>
  <si>
    <t>2380</t>
  </si>
  <si>
    <t>23</t>
  </si>
  <si>
    <t>237010</t>
  </si>
  <si>
    <t>2370</t>
  </si>
  <si>
    <t>237006</t>
  </si>
  <si>
    <t>237005</t>
  </si>
  <si>
    <t>236880</t>
  </si>
  <si>
    <t>2368</t>
  </si>
  <si>
    <t>236801</t>
  </si>
  <si>
    <t>2368010101</t>
  </si>
  <si>
    <t>236580</t>
  </si>
  <si>
    <t>2365</t>
  </si>
  <si>
    <t>236575</t>
  </si>
  <si>
    <t>236540</t>
  </si>
  <si>
    <t>236530</t>
  </si>
  <si>
    <t>236525</t>
  </si>
  <si>
    <t/>
  </si>
  <si>
    <t>1710</t>
  </si>
  <si>
    <t>17</t>
  </si>
  <si>
    <t>1</t>
  </si>
  <si>
    <t>1705</t>
  </si>
  <si>
    <t>1698</t>
  </si>
  <si>
    <t>16</t>
  </si>
  <si>
    <t>1635</t>
  </si>
  <si>
    <t>1592</t>
  </si>
  <si>
    <t>15</t>
  </si>
  <si>
    <t>1524</t>
  </si>
  <si>
    <t>1520</t>
  </si>
  <si>
    <t>1512</t>
  </si>
  <si>
    <t>14</t>
  </si>
  <si>
    <t>135518</t>
  </si>
  <si>
    <t>1355</t>
  </si>
  <si>
    <t>13</t>
  </si>
  <si>
    <t>135517</t>
  </si>
  <si>
    <t>135515</t>
  </si>
  <si>
    <t>1330</t>
  </si>
  <si>
    <t>130505</t>
  </si>
  <si>
    <t>1305</t>
  </si>
  <si>
    <t>112005</t>
  </si>
  <si>
    <t>1120</t>
  </si>
  <si>
    <t>11</t>
  </si>
  <si>
    <t>111005</t>
  </si>
  <si>
    <t>1110</t>
  </si>
  <si>
    <t>110510</t>
  </si>
  <si>
    <t>1105</t>
  </si>
  <si>
    <t>110505</t>
  </si>
  <si>
    <t>PASYPAT</t>
  </si>
  <si>
    <t>Mar</t>
  </si>
  <si>
    <t>Cuenta Tercero</t>
  </si>
  <si>
    <t>TxtCta_Formato</t>
  </si>
  <si>
    <t>TotalCodNivel5</t>
  </si>
  <si>
    <t>NombreCuentaNivel5T</t>
  </si>
  <si>
    <t>CodCuentaNivel5</t>
  </si>
  <si>
    <t>NombreCuentaNivel4T</t>
  </si>
  <si>
    <t>Texto132</t>
  </si>
  <si>
    <t>NombreCuentaNivel3T</t>
  </si>
  <si>
    <t>Texto123</t>
  </si>
  <si>
    <t>NombreCuentaNivel2T</t>
  </si>
  <si>
    <t>Texto122</t>
  </si>
  <si>
    <t>NombreCuentaNivel1T</t>
  </si>
  <si>
    <t>Texto120</t>
  </si>
  <si>
    <t>Del 1º de enero al 31 de diciembre de:2021</t>
  </si>
  <si>
    <t>Total 11 DISPONIBLE</t>
  </si>
  <si>
    <t>Los datos relacionados en los cuadros 1 al 10 refieren a un estamadio de ventas basados en el punto de equilibrio, precios y encuestas de mercado realizadas.</t>
  </si>
  <si>
    <t>TOTAL VENTAS</t>
  </si>
  <si>
    <t>MATERIAL NECESARIO ALGODÓN METROS UND</t>
  </si>
  <si>
    <t>MATERIAL NECESARIO ALGODÓN</t>
  </si>
  <si>
    <t>CF</t>
  </si>
  <si>
    <t>CV</t>
  </si>
  <si>
    <t>UTILIDAD</t>
  </si>
  <si>
    <t>Q</t>
  </si>
  <si>
    <t>$ 288747</t>
  </si>
  <si>
    <t>$ 110145</t>
  </si>
  <si>
    <t>$ 46675</t>
  </si>
  <si>
    <t>$ 79027</t>
  </si>
  <si>
    <t>$ 764535</t>
  </si>
  <si>
    <t>98</t>
  </si>
  <si>
    <t>$ 1524415</t>
  </si>
  <si>
    <t>$ 10322591</t>
  </si>
  <si>
    <t>3.82</t>
  </si>
  <si>
    <t>55.29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</si>
</sst>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8" formatCode="&quot;$&quot;\ #,##0.00;[Red]\-&quot;$&quot;\ #,##0.00"/>
    <numFmt numFmtId="44" formatCode="_-&quot;$&quot;\ * #,##0.00_-;\-&quot;$&quot;\ * #,##0.00_-;_-&quot;$&quot;\ * &quot;-&quot;??_-;_-@_-"/>
    <numFmt numFmtId="164" formatCode="#.##"/>
    <numFmt numFmtId="165" formatCode="_(* #,##0.00_);_(* \(#,##0.00\);_(* &quot;-&quot;??_);_(@_)"/>
    <numFmt numFmtId="166" formatCode="&quot;$&quot;\ #"/>
    <numFmt numFmtId="167" formatCode="&quot;$&quot;\ #.##0;\-&quot;$&quot;\ #.##0"/>
    <numFmt numFmtId="168" formatCode="_-&quot;$&quot;\ * #.##0.00_-;\-&quot;$&quot;\ * #.##0.00_-;_-&quot;$&quot;\ * &quot;-&quot;??_-;_-@_-"/>
    <numFmt numFmtId="169" formatCode="0.00000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MS Sans Serif"/>
    </font>
    <font>
      <b/>
      <sz val="10"/>
      <name val="MS Sans Serif"/>
    </font>
    <font>
      <b/>
      <sz val="10"/>
      <color rgb="FF000080"/>
      <name val="MS Sans Serif"/>
    </font>
    <font>
      <sz val="10"/>
      <color rgb="FF000000"/>
      <name val="MS Sans Serif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 tint="0.49998474074526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theme="0"/>
      </patternFill>
    </fill>
  </fills>
  <borders count="6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medium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1" tint="0.499984740745262"/>
      </top>
      <bottom style="thin">
        <color theme="1" tint="0.499984740745262"/>
      </bottom>
      <diagonal/>
    </border>
  </borders>
  <cellStyleXfs count="7">
    <xf numFmtId="0" fontId="0" fillId="0" borderId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/>
    <xf numFmtId="0" fontId="2" fillId="0" borderId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12">
    <xf numFmtId="0" fontId="0" fillId="0" borderId="0" xfId="0"/>
    <xf numFmtId="0" fontId="7" fillId="0" borderId="0" xfId="0" applyFont="1"/>
    <xf numFmtId="3" fontId="3" fillId="0" borderId="0" xfId="0" applyNumberFormat="1" applyFont="1" applyFill="1" applyBorder="1"/>
    <xf numFmtId="0" fontId="0" fillId="0" borderId="0" xfId="0" applyFill="1"/>
    <xf numFmtId="0" fontId="7" fillId="0" borderId="0" xfId="0" applyFont="1" applyFill="1"/>
    <xf numFmtId="3" fontId="7" fillId="0" borderId="0" xfId="0" applyNumberFormat="1" applyFont="1"/>
    <xf numFmtId="0" fontId="3" fillId="4" borderId="8" xfId="0" applyFont="1" applyFill="1" applyBorder="1" applyAlignment="1" applyProtection="1">
      <alignment horizontal="center"/>
      <protection locked="0"/>
    </xf>
    <xf numFmtId="0" fontId="3" fillId="0" borderId="6" xfId="0" quotePrefix="1" applyFont="1" applyFill="1" applyBorder="1" applyAlignment="1">
      <alignment horizontal="left"/>
    </xf>
    <xf numFmtId="4" fontId="7" fillId="0" borderId="0" xfId="0" applyNumberFormat="1" applyFont="1"/>
    <xf numFmtId="3" fontId="7" fillId="0" borderId="1" xfId="0" applyNumberFormat="1" applyFont="1" applyFill="1" applyBorder="1"/>
    <xf numFmtId="3" fontId="7" fillId="0" borderId="2" xfId="0" applyNumberFormat="1" applyFont="1" applyFill="1" applyBorder="1"/>
    <xf numFmtId="3" fontId="6" fillId="2" borderId="1" xfId="0" applyNumberFormat="1" applyFont="1" applyFill="1" applyBorder="1" applyAlignment="1">
      <alignment vertical="center"/>
    </xf>
    <xf numFmtId="3" fontId="6" fillId="2" borderId="2" xfId="0" applyNumberFormat="1" applyFont="1" applyFill="1" applyBorder="1" applyAlignment="1">
      <alignment vertical="center"/>
    </xf>
    <xf numFmtId="0" fontId="6" fillId="2" borderId="3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vertical="center"/>
    </xf>
    <xf numFmtId="0" fontId="6" fillId="4" borderId="6" xfId="0" applyFont="1" applyFill="1" applyBorder="1" applyAlignment="1">
      <alignment vertical="center"/>
    </xf>
    <xf numFmtId="0" fontId="4" fillId="2" borderId="6" xfId="0" applyFont="1" applyFill="1" applyBorder="1" applyAlignment="1">
      <alignment horizontal="left" vertical="center"/>
    </xf>
    <xf numFmtId="0" fontId="6" fillId="4" borderId="5" xfId="0" applyFont="1" applyFill="1" applyBorder="1" applyAlignment="1">
      <alignment horizontal="center"/>
    </xf>
    <xf numFmtId="3" fontId="7" fillId="0" borderId="4" xfId="0" applyNumberFormat="1" applyFont="1" applyFill="1" applyBorder="1" applyAlignment="1">
      <alignment vertical="center"/>
    </xf>
    <xf numFmtId="3" fontId="7" fillId="0" borderId="5" xfId="0" applyNumberFormat="1" applyFont="1" applyFill="1" applyBorder="1" applyAlignment="1">
      <alignment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vertical="center"/>
    </xf>
    <xf numFmtId="0" fontId="6" fillId="2" borderId="25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vertical="center"/>
    </xf>
    <xf numFmtId="0" fontId="6" fillId="7" borderId="5" xfId="0" applyFont="1" applyFill="1" applyBorder="1" applyAlignment="1">
      <alignment horizontal="center"/>
    </xf>
    <xf numFmtId="0" fontId="6" fillId="7" borderId="6" xfId="0" applyFont="1" applyFill="1" applyBorder="1" applyAlignment="1">
      <alignment horizontal="center"/>
    </xf>
    <xf numFmtId="0" fontId="6" fillId="0" borderId="26" xfId="0" quotePrefix="1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center"/>
    </xf>
    <xf numFmtId="0" fontId="7" fillId="4" borderId="26" xfId="0" applyFont="1" applyFill="1" applyBorder="1" applyAlignment="1">
      <alignment vertical="center"/>
    </xf>
    <xf numFmtId="0" fontId="6" fillId="5" borderId="12" xfId="0" applyFont="1" applyFill="1" applyBorder="1" applyAlignment="1">
      <alignment horizontal="center"/>
    </xf>
    <xf numFmtId="0" fontId="3" fillId="5" borderId="13" xfId="0" applyFont="1" applyFill="1" applyBorder="1" applyAlignment="1">
      <alignment horizontal="center"/>
    </xf>
    <xf numFmtId="0" fontId="5" fillId="5" borderId="13" xfId="0" quotePrefix="1" applyFont="1" applyFill="1" applyBorder="1" applyAlignment="1">
      <alignment horizontal="center"/>
    </xf>
    <xf numFmtId="0" fontId="6" fillId="5" borderId="14" xfId="0" applyFont="1" applyFill="1" applyBorder="1" applyAlignment="1">
      <alignment horizontal="center"/>
    </xf>
    <xf numFmtId="3" fontId="6" fillId="0" borderId="1" xfId="0" applyNumberFormat="1" applyFont="1" applyFill="1" applyBorder="1" applyAlignment="1"/>
    <xf numFmtId="3" fontId="6" fillId="0" borderId="2" xfId="0" applyNumberFormat="1" applyFont="1" applyFill="1" applyBorder="1" applyAlignment="1"/>
    <xf numFmtId="3" fontId="6" fillId="2" borderId="2" xfId="0" applyNumberFormat="1" applyFont="1" applyFill="1" applyBorder="1" applyAlignment="1"/>
    <xf numFmtId="3" fontId="7" fillId="0" borderId="4" xfId="0" applyNumberFormat="1" applyFont="1" applyFill="1" applyBorder="1" applyAlignment="1"/>
    <xf numFmtId="3" fontId="7" fillId="0" borderId="5" xfId="0" applyNumberFormat="1" applyFont="1" applyFill="1" applyBorder="1" applyAlignment="1"/>
    <xf numFmtId="0" fontId="6" fillId="4" borderId="27" xfId="0" applyFont="1" applyFill="1" applyBorder="1" applyAlignment="1">
      <alignment horizontal="center"/>
    </xf>
    <xf numFmtId="0" fontId="7" fillId="4" borderId="26" xfId="0" applyFont="1" applyFill="1" applyBorder="1" applyAlignment="1"/>
    <xf numFmtId="0" fontId="7" fillId="4" borderId="6" xfId="0" applyFont="1" applyFill="1" applyBorder="1"/>
    <xf numFmtId="0" fontId="7" fillId="2" borderId="3" xfId="0" quotePrefix="1" applyFont="1" applyFill="1" applyBorder="1" applyAlignment="1">
      <alignment horizontal="left"/>
    </xf>
    <xf numFmtId="3" fontId="7" fillId="0" borderId="4" xfId="0" applyNumberFormat="1" applyFont="1" applyFill="1" applyBorder="1" applyAlignment="1">
      <alignment horizontal="center"/>
    </xf>
    <xf numFmtId="3" fontId="7" fillId="0" borderId="5" xfId="0" applyNumberFormat="1" applyFont="1" applyFill="1" applyBorder="1" applyAlignment="1">
      <alignment horizontal="center"/>
    </xf>
    <xf numFmtId="0" fontId="7" fillId="2" borderId="6" xfId="0" quotePrefix="1" applyFont="1" applyFill="1" applyBorder="1" applyAlignment="1">
      <alignment horizontal="left"/>
    </xf>
    <xf numFmtId="0" fontId="6" fillId="0" borderId="0" xfId="0" applyFont="1"/>
    <xf numFmtId="0" fontId="7" fillId="4" borderId="6" xfId="0" quotePrefix="1" applyFont="1" applyFill="1" applyBorder="1" applyAlignment="1">
      <alignment horizontal="left"/>
    </xf>
    <xf numFmtId="0" fontId="6" fillId="4" borderId="4" xfId="0" applyFont="1" applyFill="1" applyBorder="1" applyAlignment="1">
      <alignment horizontal="center"/>
    </xf>
    <xf numFmtId="0" fontId="0" fillId="0" borderId="0" xfId="0" applyAlignment="1">
      <alignment horizontal="right"/>
    </xf>
    <xf numFmtId="3" fontId="3" fillId="0" borderId="0" xfId="0" applyNumberFormat="1" applyFont="1" applyBorder="1"/>
    <xf numFmtId="3" fontId="4" fillId="0" borderId="0" xfId="0" applyNumberFormat="1" applyFont="1" applyFill="1" applyBorder="1"/>
    <xf numFmtId="0" fontId="6" fillId="6" borderId="2" xfId="0" applyFont="1" applyFill="1" applyBorder="1"/>
    <xf numFmtId="0" fontId="6" fillId="0" borderId="29" xfId="0" applyFont="1" applyBorder="1"/>
    <xf numFmtId="0" fontId="6" fillId="2" borderId="5" xfId="0" applyFont="1" applyFill="1" applyBorder="1"/>
    <xf numFmtId="0" fontId="6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6" fillId="2" borderId="28" xfId="0" applyFont="1" applyFill="1" applyBorder="1"/>
    <xf numFmtId="0" fontId="6" fillId="2" borderId="31" xfId="0" applyFont="1" applyFill="1" applyBorder="1"/>
    <xf numFmtId="0" fontId="3" fillId="4" borderId="12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6" fillId="2" borderId="32" xfId="0" applyFont="1" applyFill="1" applyBorder="1"/>
    <xf numFmtId="0" fontId="7" fillId="2" borderId="10" xfId="0" applyFont="1" applyFill="1" applyBorder="1" applyAlignment="1">
      <alignment horizontal="center"/>
    </xf>
    <xf numFmtId="0" fontId="6" fillId="2" borderId="8" xfId="0" applyFont="1" applyFill="1" applyBorder="1"/>
    <xf numFmtId="0" fontId="0" fillId="0" borderId="16" xfId="0" applyBorder="1"/>
    <xf numFmtId="0" fontId="0" fillId="0" borderId="0" xfId="0" applyAlignment="1">
      <alignment wrapText="1"/>
    </xf>
    <xf numFmtId="44" fontId="0" fillId="0" borderId="0" xfId="1" applyFont="1"/>
    <xf numFmtId="44" fontId="0" fillId="0" borderId="0" xfId="1" applyFont="1" applyAlignment="1">
      <alignment wrapText="1"/>
    </xf>
    <xf numFmtId="2" fontId="0" fillId="0" borderId="0" xfId="0" applyNumberFormat="1"/>
    <xf numFmtId="1" fontId="0" fillId="0" borderId="0" xfId="0" applyNumberFormat="1"/>
    <xf numFmtId="1" fontId="0" fillId="0" borderId="0" xfId="1" applyNumberFormat="1" applyFont="1"/>
    <xf numFmtId="0" fontId="0" fillId="0" borderId="0" xfId="0" applyAlignment="1">
      <alignment horizontal="center"/>
    </xf>
    <xf numFmtId="0" fontId="7" fillId="4" borderId="26" xfId="0" applyFont="1" applyFill="1" applyBorder="1"/>
    <xf numFmtId="0" fontId="6" fillId="4" borderId="26" xfId="0" applyFont="1" applyFill="1" applyBorder="1"/>
    <xf numFmtId="0" fontId="6" fillId="4" borderId="26" xfId="0" quotePrefix="1" applyFont="1" applyFill="1" applyBorder="1" applyAlignment="1">
      <alignment horizontal="left"/>
    </xf>
    <xf numFmtId="0" fontId="6" fillId="2" borderId="26" xfId="0" quotePrefix="1" applyFont="1" applyFill="1" applyBorder="1" applyAlignment="1">
      <alignment horizontal="left"/>
    </xf>
    <xf numFmtId="0" fontId="6" fillId="2" borderId="25" xfId="0" applyFont="1" applyFill="1" applyBorder="1" applyAlignment="1">
      <alignment horizontal="center"/>
    </xf>
    <xf numFmtId="0" fontId="6" fillId="7" borderId="24" xfId="0" applyFont="1" applyFill="1" applyBorder="1" applyAlignment="1">
      <alignment horizontal="center"/>
    </xf>
    <xf numFmtId="0" fontId="6" fillId="7" borderId="30" xfId="0" applyFont="1" applyFill="1" applyBorder="1" applyAlignment="1">
      <alignment horizontal="center"/>
    </xf>
    <xf numFmtId="0" fontId="6" fillId="3" borderId="39" xfId="0" applyFont="1" applyFill="1" applyBorder="1" applyAlignment="1">
      <alignment horizontal="center"/>
    </xf>
    <xf numFmtId="0" fontId="6" fillId="0" borderId="39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3" fontId="7" fillId="0" borderId="0" xfId="0" applyNumberFormat="1" applyFont="1" applyFill="1" applyBorder="1"/>
    <xf numFmtId="0" fontId="3" fillId="2" borderId="0" xfId="0" applyFont="1" applyFill="1" applyBorder="1"/>
    <xf numFmtId="1" fontId="7" fillId="0" borderId="0" xfId="0" applyNumberFormat="1" applyFont="1"/>
    <xf numFmtId="0" fontId="3" fillId="2" borderId="25" xfId="0" applyFont="1" applyFill="1" applyBorder="1"/>
    <xf numFmtId="0" fontId="6" fillId="2" borderId="19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6" fillId="0" borderId="34" xfId="0" applyFont="1" applyBorder="1"/>
    <xf numFmtId="0" fontId="6" fillId="6" borderId="32" xfId="0" applyFont="1" applyFill="1" applyBorder="1"/>
    <xf numFmtId="0" fontId="6" fillId="2" borderId="41" xfId="0" applyFont="1" applyFill="1" applyBorder="1"/>
    <xf numFmtId="0" fontId="6" fillId="0" borderId="10" xfId="0" applyFont="1" applyBorder="1"/>
    <xf numFmtId="0" fontId="0" fillId="0" borderId="6" xfId="0" applyBorder="1"/>
    <xf numFmtId="0" fontId="0" fillId="0" borderId="3" xfId="0" applyBorder="1"/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4" xfId="0" applyBorder="1"/>
    <xf numFmtId="0" fontId="0" fillId="0" borderId="46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6" fillId="0" borderId="4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0" fontId="0" fillId="0" borderId="0" xfId="0" applyNumberFormat="1"/>
    <xf numFmtId="1" fontId="6" fillId="2" borderId="31" xfId="0" applyNumberFormat="1" applyFont="1" applyFill="1" applyBorder="1" applyAlignment="1">
      <alignment horizontal="center"/>
    </xf>
    <xf numFmtId="3" fontId="6" fillId="2" borderId="8" xfId="0" applyNumberFormat="1" applyFont="1" applyFill="1" applyBorder="1" applyAlignment="1">
      <alignment horizontal="center"/>
    </xf>
    <xf numFmtId="3" fontId="6" fillId="3" borderId="7" xfId="0" applyNumberFormat="1" applyFont="1" applyFill="1" applyBorder="1" applyAlignment="1">
      <alignment horizontal="center"/>
    </xf>
    <xf numFmtId="44" fontId="0" fillId="0" borderId="0" xfId="1" applyFont="1" applyAlignment="1">
      <alignment horizontal="center"/>
    </xf>
    <xf numFmtId="1" fontId="6" fillId="2" borderId="28" xfId="0" applyNumberFormat="1" applyFont="1" applyFill="1" applyBorder="1" applyAlignment="1">
      <alignment horizontal="center"/>
    </xf>
    <xf numFmtId="1" fontId="6" fillId="2" borderId="32" xfId="0" applyNumberFormat="1" applyFont="1" applyFill="1" applyBorder="1" applyAlignment="1">
      <alignment horizontal="center"/>
    </xf>
    <xf numFmtId="3" fontId="6" fillId="6" borderId="13" xfId="0" applyNumberFormat="1" applyFont="1" applyFill="1" applyBorder="1" applyAlignment="1">
      <alignment horizontal="center"/>
    </xf>
    <xf numFmtId="3" fontId="6" fillId="3" borderId="12" xfId="0" applyNumberFormat="1" applyFont="1" applyFill="1" applyBorder="1" applyAlignment="1">
      <alignment horizontal="center"/>
    </xf>
    <xf numFmtId="3" fontId="6" fillId="6" borderId="2" xfId="0" applyNumberFormat="1" applyFont="1" applyFill="1" applyBorder="1" applyAlignment="1">
      <alignment horizontal="center"/>
    </xf>
    <xf numFmtId="3" fontId="6" fillId="3" borderId="1" xfId="0" applyNumberFormat="1" applyFont="1" applyFill="1" applyBorder="1" applyAlignment="1">
      <alignment horizontal="center"/>
    </xf>
    <xf numFmtId="3" fontId="6" fillId="2" borderId="30" xfId="0" applyNumberFormat="1" applyFont="1" applyFill="1" applyBorder="1" applyAlignment="1">
      <alignment horizontal="center"/>
    </xf>
    <xf numFmtId="3" fontId="6" fillId="3" borderId="23" xfId="0" applyNumberFormat="1" applyFont="1" applyFill="1" applyBorder="1" applyAlignment="1">
      <alignment horizontal="center"/>
    </xf>
    <xf numFmtId="0" fontId="6" fillId="2" borderId="24" xfId="0" applyFont="1" applyFill="1" applyBorder="1" applyAlignment="1">
      <alignment horizontal="center" wrapText="1"/>
    </xf>
    <xf numFmtId="0" fontId="6" fillId="2" borderId="41" xfId="0" applyFont="1" applyFill="1" applyBorder="1" applyAlignment="1">
      <alignment horizontal="center" wrapText="1"/>
    </xf>
    <xf numFmtId="0" fontId="6" fillId="2" borderId="42" xfId="0" applyFont="1" applyFill="1" applyBorder="1" applyAlignment="1">
      <alignment horizontal="center" wrapText="1"/>
    </xf>
    <xf numFmtId="0" fontId="6" fillId="2" borderId="15" xfId="0" applyFont="1" applyFill="1" applyBorder="1" applyAlignment="1">
      <alignment horizontal="center" wrapText="1"/>
    </xf>
    <xf numFmtId="3" fontId="7" fillId="2" borderId="6" xfId="0" applyNumberFormat="1" applyFont="1" applyFill="1" applyBorder="1" applyAlignment="1">
      <alignment horizontal="center"/>
    </xf>
    <xf numFmtId="3" fontId="7" fillId="2" borderId="5" xfId="0" applyNumberFormat="1" applyFont="1" applyFill="1" applyBorder="1" applyAlignment="1">
      <alignment horizontal="center"/>
    </xf>
    <xf numFmtId="3" fontId="7" fillId="2" borderId="4" xfId="0" applyNumberFormat="1" applyFont="1" applyFill="1" applyBorder="1" applyAlignment="1">
      <alignment horizontal="center"/>
    </xf>
    <xf numFmtId="3" fontId="6" fillId="2" borderId="3" xfId="0" applyNumberFormat="1" applyFont="1" applyFill="1" applyBorder="1" applyAlignment="1">
      <alignment horizontal="center"/>
    </xf>
    <xf numFmtId="3" fontId="6" fillId="2" borderId="2" xfId="0" applyNumberFormat="1" applyFont="1" applyFill="1" applyBorder="1" applyAlignment="1">
      <alignment horizontal="center"/>
    </xf>
    <xf numFmtId="3" fontId="6" fillId="2" borderId="1" xfId="0" applyNumberFormat="1" applyFont="1" applyFill="1" applyBorder="1" applyAlignment="1">
      <alignment horizontal="center"/>
    </xf>
    <xf numFmtId="3" fontId="6" fillId="0" borderId="6" xfId="0" applyNumberFormat="1" applyFont="1" applyFill="1" applyBorder="1" applyAlignment="1">
      <alignment horizontal="center"/>
    </xf>
    <xf numFmtId="3" fontId="6" fillId="0" borderId="5" xfId="0" applyNumberFormat="1" applyFont="1" applyFill="1" applyBorder="1" applyAlignment="1">
      <alignment horizontal="center"/>
    </xf>
    <xf numFmtId="3" fontId="6" fillId="0" borderId="4" xfId="0" applyNumberFormat="1" applyFont="1" applyFill="1" applyBorder="1" applyAlignment="1">
      <alignment horizontal="center"/>
    </xf>
    <xf numFmtId="3" fontId="6" fillId="3" borderId="39" xfId="0" applyNumberFormat="1" applyFont="1" applyFill="1" applyBorder="1" applyAlignment="1">
      <alignment horizontal="center"/>
    </xf>
    <xf numFmtId="3" fontId="6" fillId="0" borderId="39" xfId="0" applyNumberFormat="1" applyFont="1" applyFill="1" applyBorder="1" applyAlignment="1">
      <alignment horizontal="center"/>
    </xf>
    <xf numFmtId="3" fontId="6" fillId="3" borderId="40" xfId="0" applyNumberFormat="1" applyFont="1" applyFill="1" applyBorder="1" applyAlignment="1">
      <alignment horizontal="center"/>
    </xf>
    <xf numFmtId="3" fontId="6" fillId="7" borderId="30" xfId="0" applyNumberFormat="1" applyFont="1" applyFill="1" applyBorder="1" applyAlignment="1">
      <alignment horizontal="center"/>
    </xf>
    <xf numFmtId="3" fontId="6" fillId="7" borderId="23" xfId="0" applyNumberFormat="1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3" fontId="6" fillId="7" borderId="5" xfId="0" applyNumberFormat="1" applyFont="1" applyFill="1" applyBorder="1" applyAlignment="1">
      <alignment horizontal="center"/>
    </xf>
    <xf numFmtId="3" fontId="6" fillId="7" borderId="4" xfId="0" applyNumberFormat="1" applyFont="1" applyFill="1" applyBorder="1" applyAlignment="1">
      <alignment horizontal="center"/>
    </xf>
    <xf numFmtId="3" fontId="7" fillId="2" borderId="5" xfId="0" applyNumberFormat="1" applyFont="1" applyFill="1" applyBorder="1" applyAlignment="1">
      <alignment horizontal="center" vertical="center"/>
    </xf>
    <xf numFmtId="3" fontId="7" fillId="2" borderId="4" xfId="0" applyNumberFormat="1" applyFont="1" applyFill="1" applyBorder="1" applyAlignment="1">
      <alignment horizontal="center" vertical="center"/>
    </xf>
    <xf numFmtId="3" fontId="6" fillId="2" borderId="5" xfId="0" applyNumberFormat="1" applyFont="1" applyFill="1" applyBorder="1" applyAlignment="1">
      <alignment horizontal="center" vertical="center"/>
    </xf>
    <xf numFmtId="3" fontId="6" fillId="2" borderId="2" xfId="0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center"/>
    </xf>
    <xf numFmtId="3" fontId="0" fillId="0" borderId="5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35" xfId="0" applyNumberFormat="1" applyBorder="1" applyAlignment="1">
      <alignment horizontal="center"/>
    </xf>
    <xf numFmtId="3" fontId="0" fillId="0" borderId="36" xfId="0" applyNumberFormat="1" applyBorder="1" applyAlignment="1">
      <alignment horizontal="center"/>
    </xf>
    <xf numFmtId="9" fontId="0" fillId="0" borderId="0" xfId="0" applyNumberFormat="1" applyAlignment="1">
      <alignment horizontal="center"/>
    </xf>
    <xf numFmtId="164" fontId="0" fillId="0" borderId="45" xfId="0" applyNumberFormat="1" applyBorder="1" applyAlignment="1">
      <alignment horizontal="center"/>
    </xf>
    <xf numFmtId="8" fontId="0" fillId="0" borderId="50" xfId="0" applyNumberFormat="1" applyBorder="1" applyAlignment="1">
      <alignment horizontal="center"/>
    </xf>
    <xf numFmtId="164" fontId="0" fillId="0" borderId="36" xfId="0" applyNumberFormat="1" applyBorder="1" applyAlignment="1">
      <alignment horizontal="center"/>
    </xf>
    <xf numFmtId="8" fontId="0" fillId="0" borderId="51" xfId="0" applyNumberFormat="1" applyBorder="1" applyAlignment="1">
      <alignment horizontal="center"/>
    </xf>
    <xf numFmtId="0" fontId="7" fillId="8" borderId="33" xfId="0" applyFont="1" applyFill="1" applyBorder="1" applyAlignment="1">
      <alignment horizontal="center"/>
    </xf>
    <xf numFmtId="10" fontId="0" fillId="8" borderId="45" xfId="0" applyNumberFormat="1" applyFill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9" fontId="0" fillId="0" borderId="9" xfId="2" applyFont="1" applyBorder="1" applyAlignment="1">
      <alignment horizontal="center"/>
    </xf>
    <xf numFmtId="9" fontId="0" fillId="0" borderId="6" xfId="2" applyFont="1" applyBorder="1" applyAlignment="1">
      <alignment horizontal="center"/>
    </xf>
    <xf numFmtId="9" fontId="0" fillId="0" borderId="3" xfId="2" applyFont="1" applyBorder="1" applyAlignment="1">
      <alignment horizontal="center"/>
    </xf>
    <xf numFmtId="0" fontId="0" fillId="0" borderId="0" xfId="0" applyFill="1" applyAlignment="1">
      <alignment horizontal="center"/>
    </xf>
    <xf numFmtId="9" fontId="0" fillId="8" borderId="6" xfId="2" applyFont="1" applyFill="1" applyBorder="1" applyAlignment="1">
      <alignment horizontal="center"/>
    </xf>
    <xf numFmtId="8" fontId="7" fillId="0" borderId="50" xfId="0" applyNumberFormat="1" applyFont="1" applyBorder="1" applyAlignment="1">
      <alignment horizontal="center"/>
    </xf>
    <xf numFmtId="8" fontId="6" fillId="6" borderId="51" xfId="0" applyNumberFormat="1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0" xfId="0" applyFill="1" applyAlignment="1">
      <alignment horizontal="center"/>
    </xf>
    <xf numFmtId="8" fontId="7" fillId="6" borderId="51" xfId="0" applyNumberFormat="1" applyFont="1" applyFill="1" applyBorder="1" applyAlignment="1">
      <alignment horizontal="center"/>
    </xf>
    <xf numFmtId="10" fontId="0" fillId="8" borderId="6" xfId="2" applyNumberFormat="1" applyFont="1" applyFill="1" applyBorder="1" applyAlignment="1">
      <alignment horizontal="center"/>
    </xf>
    <xf numFmtId="8" fontId="7" fillId="6" borderId="33" xfId="0" applyNumberFormat="1" applyFont="1" applyFill="1" applyBorder="1" applyAlignment="1">
      <alignment horizontal="center"/>
    </xf>
    <xf numFmtId="3" fontId="6" fillId="0" borderId="0" xfId="0" applyNumberFormat="1" applyFont="1" applyFill="1" applyBorder="1"/>
    <xf numFmtId="0" fontId="7" fillId="0" borderId="0" xfId="0" applyFont="1" applyFill="1" applyBorder="1" applyAlignment="1">
      <alignment horizontal="centerContinuous"/>
    </xf>
    <xf numFmtId="0" fontId="6" fillId="0" borderId="0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0" fontId="4" fillId="0" borderId="0" xfId="0" quotePrefix="1" applyFont="1" applyFill="1" applyBorder="1" applyAlignment="1"/>
    <xf numFmtId="0" fontId="6" fillId="0" borderId="0" xfId="0" applyFont="1" applyFill="1" applyBorder="1" applyAlignment="1"/>
    <xf numFmtId="9" fontId="0" fillId="0" borderId="6" xfId="2" applyFont="1" applyFill="1" applyBorder="1" applyAlignment="1">
      <alignment horizontal="center"/>
    </xf>
    <xf numFmtId="0" fontId="6" fillId="0" borderId="0" xfId="0" applyFont="1" applyFill="1" applyBorder="1" applyAlignment="1">
      <alignment horizontal="centerContinuous"/>
    </xf>
    <xf numFmtId="0" fontId="6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0" xfId="0" quotePrefix="1" applyFont="1" applyFill="1" applyBorder="1" applyAlignment="1">
      <alignment horizontal="left"/>
    </xf>
    <xf numFmtId="0" fontId="3" fillId="0" borderId="0" xfId="0" quotePrefix="1" applyFont="1" applyFill="1" applyBorder="1" applyAlignment="1">
      <alignment horizontal="left"/>
    </xf>
    <xf numFmtId="0" fontId="3" fillId="0" borderId="0" xfId="0" quotePrefix="1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7" fillId="0" borderId="0" xfId="0" quotePrefix="1" applyFont="1" applyFill="1" applyBorder="1" applyAlignment="1">
      <alignment horizontal="centerContinuous"/>
    </xf>
    <xf numFmtId="0" fontId="8" fillId="0" borderId="0" xfId="0" applyFont="1" applyFill="1" applyBorder="1" applyAlignment="1">
      <alignment horizontal="centerContinuous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Protection="1">
      <protection locked="0"/>
    </xf>
    <xf numFmtId="0" fontId="4" fillId="0" borderId="0" xfId="0" quotePrefix="1" applyFont="1" applyFill="1" applyBorder="1" applyAlignment="1" applyProtection="1">
      <alignment horizontal="left"/>
      <protection locked="0"/>
    </xf>
    <xf numFmtId="0" fontId="3" fillId="0" borderId="0" xfId="0" quotePrefix="1" applyFont="1" applyFill="1" applyBorder="1" applyAlignment="1" applyProtection="1">
      <alignment horizontal="left"/>
      <protection locked="0"/>
    </xf>
    <xf numFmtId="0" fontId="4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/>
    <xf numFmtId="4" fontId="4" fillId="0" borderId="0" xfId="0" applyNumberFormat="1" applyFont="1" applyFill="1" applyBorder="1"/>
    <xf numFmtId="3" fontId="3" fillId="0" borderId="0" xfId="0" applyNumberFormat="1" applyFont="1" applyFill="1" applyBorder="1" applyAlignment="1">
      <alignment vertical="center"/>
    </xf>
    <xf numFmtId="4" fontId="4" fillId="0" borderId="0" xfId="0" quotePrefix="1" applyNumberFormat="1" applyFont="1" applyFill="1" applyBorder="1" applyAlignment="1">
      <alignment horizontal="left"/>
    </xf>
    <xf numFmtId="4" fontId="3" fillId="0" borderId="0" xfId="0" applyNumberFormat="1" applyFont="1" applyFill="1" applyBorder="1" applyAlignment="1">
      <alignment horizontal="center"/>
    </xf>
    <xf numFmtId="0" fontId="4" fillId="0" borderId="0" xfId="0" applyFont="1" applyFill="1" applyBorder="1"/>
    <xf numFmtId="4" fontId="3" fillId="0" borderId="0" xfId="0" quotePrefix="1" applyNumberFormat="1" applyFont="1" applyFill="1" applyBorder="1" applyAlignment="1">
      <alignment horizontal="center"/>
    </xf>
    <xf numFmtId="3" fontId="0" fillId="0" borderId="0" xfId="0" applyNumberFormat="1" applyFill="1"/>
    <xf numFmtId="0" fontId="8" fillId="0" borderId="0" xfId="0" quotePrefix="1" applyFont="1" applyFill="1" applyBorder="1" applyAlignment="1">
      <alignment horizontal="center"/>
    </xf>
    <xf numFmtId="0" fontId="10" fillId="0" borderId="0" xfId="3"/>
    <xf numFmtId="4" fontId="11" fillId="0" borderId="0" xfId="3" applyNumberFormat="1" applyFont="1"/>
    <xf numFmtId="0" fontId="11" fillId="0" borderId="0" xfId="3" applyFont="1"/>
    <xf numFmtId="0" fontId="13" fillId="0" borderId="0" xfId="3" applyFont="1"/>
    <xf numFmtId="4" fontId="13" fillId="0" borderId="0" xfId="3" applyNumberFormat="1" applyFont="1"/>
    <xf numFmtId="49" fontId="12" fillId="0" borderId="0" xfId="3" applyNumberFormat="1" applyFont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165" fontId="0" fillId="0" borderId="0" xfId="0" applyNumberFormat="1"/>
    <xf numFmtId="0" fontId="0" fillId="0" borderId="0" xfId="0" applyAlignment="1">
      <alignment horizontal="left" indent="1"/>
    </xf>
    <xf numFmtId="0" fontId="4" fillId="0" borderId="52" xfId="0" quotePrefix="1" applyFont="1" applyFill="1" applyBorder="1" applyAlignment="1">
      <alignment horizontal="left"/>
    </xf>
    <xf numFmtId="0" fontId="4" fillId="0" borderId="52" xfId="0" applyFont="1" applyFill="1" applyBorder="1" applyAlignment="1">
      <alignment horizontal="left"/>
    </xf>
    <xf numFmtId="0" fontId="3" fillId="0" borderId="52" xfId="0" quotePrefix="1" applyFont="1" applyFill="1" applyBorder="1" applyAlignment="1">
      <alignment horizontal="left"/>
    </xf>
    <xf numFmtId="0" fontId="3" fillId="0" borderId="52" xfId="0" applyFont="1" applyFill="1" applyBorder="1" applyAlignment="1">
      <alignment horizontal="left"/>
    </xf>
    <xf numFmtId="0" fontId="3" fillId="2" borderId="54" xfId="0" applyFont="1" applyFill="1" applyBorder="1"/>
    <xf numFmtId="3" fontId="4" fillId="0" borderId="53" xfId="0" applyNumberFormat="1" applyFont="1" applyFill="1" applyBorder="1"/>
    <xf numFmtId="3" fontId="3" fillId="0" borderId="53" xfId="0" applyNumberFormat="1" applyFont="1" applyFill="1" applyBorder="1"/>
    <xf numFmtId="3" fontId="4" fillId="3" borderId="53" xfId="0" applyNumberFormat="1" applyFont="1" applyFill="1" applyBorder="1"/>
    <xf numFmtId="3" fontId="3" fillId="0" borderId="55" xfId="0" applyNumberFormat="1" applyFont="1" applyFill="1" applyBorder="1"/>
    <xf numFmtId="3" fontId="8" fillId="0" borderId="0" xfId="0" applyNumberFormat="1" applyFont="1" applyFill="1" applyBorder="1"/>
    <xf numFmtId="0" fontId="6" fillId="0" borderId="0" xfId="0" quotePrefix="1" applyFont="1" applyFill="1" applyBorder="1" applyAlignment="1"/>
    <xf numFmtId="0" fontId="6" fillId="4" borderId="56" xfId="0" applyFont="1" applyFill="1" applyBorder="1"/>
    <xf numFmtId="0" fontId="3" fillId="4" borderId="57" xfId="0" applyFont="1" applyFill="1" applyBorder="1" applyAlignment="1" applyProtection="1">
      <alignment horizontal="center"/>
      <protection locked="0"/>
    </xf>
    <xf numFmtId="165" fontId="15" fillId="9" borderId="58" xfId="0" applyNumberFormat="1" applyFont="1" applyFill="1" applyBorder="1"/>
    <xf numFmtId="0" fontId="0" fillId="0" borderId="0" xfId="0" applyAlignment="1">
      <alignment horizontal="left" indent="2"/>
    </xf>
    <xf numFmtId="0" fontId="4" fillId="0" borderId="53" xfId="0" applyNumberFormat="1" applyFont="1" applyFill="1" applyBorder="1"/>
    <xf numFmtId="0" fontId="2" fillId="0" borderId="0" xfId="4" applyAlignment="1">
      <alignment wrapText="1"/>
    </xf>
    <xf numFmtId="0" fontId="2" fillId="0" borderId="19" xfId="4" applyBorder="1" applyAlignment="1">
      <alignment wrapText="1"/>
    </xf>
    <xf numFmtId="0" fontId="2" fillId="0" borderId="18" xfId="4" applyBorder="1" applyAlignment="1">
      <alignment wrapText="1"/>
    </xf>
    <xf numFmtId="0" fontId="2" fillId="0" borderId="17" xfId="4" applyBorder="1" applyAlignment="1">
      <alignment wrapText="1"/>
    </xf>
    <xf numFmtId="0" fontId="2" fillId="0" borderId="19" xfId="4" applyBorder="1" applyAlignment="1">
      <alignment horizontal="center" wrapText="1"/>
    </xf>
    <xf numFmtId="0" fontId="2" fillId="0" borderId="0" xfId="4"/>
    <xf numFmtId="166" fontId="2" fillId="0" borderId="16" xfId="4" applyNumberFormat="1" applyBorder="1"/>
    <xf numFmtId="166" fontId="2" fillId="0" borderId="0" xfId="4" applyNumberFormat="1" applyBorder="1"/>
    <xf numFmtId="166" fontId="2" fillId="0" borderId="15" xfId="4" applyNumberFormat="1" applyBorder="1"/>
    <xf numFmtId="2" fontId="2" fillId="0" borderId="15" xfId="4" applyNumberFormat="1" applyBorder="1" applyAlignment="1">
      <alignment horizontal="center"/>
    </xf>
    <xf numFmtId="1" fontId="2" fillId="0" borderId="16" xfId="4" applyNumberFormat="1" applyBorder="1" applyAlignment="1">
      <alignment horizontal="center"/>
    </xf>
    <xf numFmtId="2" fontId="2" fillId="0" borderId="16" xfId="4" applyNumberFormat="1" applyBorder="1" applyAlignment="1">
      <alignment horizontal="center"/>
    </xf>
    <xf numFmtId="2" fontId="2" fillId="0" borderId="15" xfId="4" applyNumberFormat="1" applyBorder="1"/>
    <xf numFmtId="167" fontId="2" fillId="0" borderId="0" xfId="4" applyNumberFormat="1"/>
    <xf numFmtId="0" fontId="2" fillId="0" borderId="0" xfId="4" applyAlignment="1">
      <alignment horizontal="center"/>
    </xf>
    <xf numFmtId="168" fontId="0" fillId="0" borderId="0" xfId="5" applyFont="1"/>
    <xf numFmtId="0" fontId="2" fillId="0" borderId="0" xfId="4" applyNumberFormat="1" applyAlignment="1">
      <alignment horizontal="center"/>
    </xf>
    <xf numFmtId="166" fontId="14" fillId="0" borderId="0" xfId="4" applyNumberFormat="1" applyFont="1" applyFill="1" applyBorder="1"/>
    <xf numFmtId="0" fontId="0" fillId="0" borderId="0" xfId="6" applyNumberFormat="1" applyFont="1"/>
    <xf numFmtId="0" fontId="14" fillId="0" borderId="9" xfId="4" applyFont="1" applyBorder="1"/>
    <xf numFmtId="166" fontId="14" fillId="0" borderId="7" xfId="4" applyNumberFormat="1" applyFont="1" applyBorder="1"/>
    <xf numFmtId="0" fontId="14" fillId="0" borderId="6" xfId="4" applyFont="1" applyBorder="1"/>
    <xf numFmtId="166" fontId="14" fillId="0" borderId="4" xfId="4" applyNumberFormat="1" applyFont="1" applyBorder="1"/>
    <xf numFmtId="0" fontId="14" fillId="0" borderId="3" xfId="4" applyFont="1" applyBorder="1"/>
    <xf numFmtId="169" fontId="2" fillId="0" borderId="1" xfId="4" applyNumberFormat="1" applyBorder="1"/>
    <xf numFmtId="0" fontId="7" fillId="0" borderId="19" xfId="0" applyFont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34" xfId="0" applyBorder="1" applyAlignment="1">
      <alignment horizontal="center" wrapText="1"/>
    </xf>
    <xf numFmtId="0" fontId="0" fillId="0" borderId="35" xfId="0" applyBorder="1" applyAlignment="1">
      <alignment horizontal="center" wrapText="1"/>
    </xf>
    <xf numFmtId="0" fontId="0" fillId="0" borderId="36" xfId="0" applyBorder="1" applyAlignment="1">
      <alignment horizontal="center" wrapText="1"/>
    </xf>
    <xf numFmtId="0" fontId="6" fillId="4" borderId="43" xfId="0" quotePrefix="1" applyFont="1" applyFill="1" applyBorder="1" applyAlignment="1">
      <alignment horizontal="center"/>
    </xf>
    <xf numFmtId="0" fontId="6" fillId="4" borderId="44" xfId="0" quotePrefix="1" applyFont="1" applyFill="1" applyBorder="1" applyAlignment="1">
      <alignment horizontal="center"/>
    </xf>
    <xf numFmtId="0" fontId="6" fillId="4" borderId="19" xfId="0" quotePrefix="1" applyFont="1" applyFill="1" applyBorder="1" applyAlignment="1">
      <alignment horizontal="center"/>
    </xf>
    <xf numFmtId="0" fontId="6" fillId="4" borderId="18" xfId="0" quotePrefix="1" applyFont="1" applyFill="1" applyBorder="1" applyAlignment="1">
      <alignment horizontal="center"/>
    </xf>
    <xf numFmtId="0" fontId="6" fillId="4" borderId="22" xfId="0" quotePrefix="1" applyFont="1" applyFill="1" applyBorder="1" applyAlignment="1">
      <alignment horizontal="center"/>
    </xf>
    <xf numFmtId="0" fontId="6" fillId="4" borderId="21" xfId="0" quotePrefix="1" applyFont="1" applyFill="1" applyBorder="1" applyAlignment="1">
      <alignment horizontal="center"/>
    </xf>
    <xf numFmtId="0" fontId="6" fillId="4" borderId="20" xfId="0" quotePrefix="1" applyFont="1" applyFill="1" applyBorder="1" applyAlignment="1">
      <alignment horizontal="center"/>
    </xf>
    <xf numFmtId="0" fontId="6" fillId="4" borderId="22" xfId="0" quotePrefix="1" applyFont="1" applyFill="1" applyBorder="1" applyAlignment="1">
      <alignment horizontal="center" vertical="center"/>
    </xf>
    <xf numFmtId="0" fontId="6" fillId="4" borderId="21" xfId="0" quotePrefix="1" applyFont="1" applyFill="1" applyBorder="1" applyAlignment="1">
      <alignment horizontal="center" vertical="center"/>
    </xf>
    <xf numFmtId="0" fontId="6" fillId="4" borderId="20" xfId="0" quotePrefix="1" applyFont="1" applyFill="1" applyBorder="1" applyAlignment="1">
      <alignment horizontal="center" vertical="center"/>
    </xf>
    <xf numFmtId="0" fontId="6" fillId="5" borderId="22" xfId="0" quotePrefix="1" applyFont="1" applyFill="1" applyBorder="1" applyAlignment="1">
      <alignment horizontal="center"/>
    </xf>
    <xf numFmtId="0" fontId="6" fillId="5" borderId="21" xfId="0" quotePrefix="1" applyFont="1" applyFill="1" applyBorder="1" applyAlignment="1">
      <alignment horizontal="center"/>
    </xf>
    <xf numFmtId="0" fontId="6" fillId="5" borderId="20" xfId="0" quotePrefix="1" applyFont="1" applyFill="1" applyBorder="1" applyAlignment="1">
      <alignment horizontal="center"/>
    </xf>
    <xf numFmtId="0" fontId="6" fillId="4" borderId="43" xfId="0" applyFont="1" applyFill="1" applyBorder="1" applyAlignment="1">
      <alignment horizontal="center" vertical="center"/>
    </xf>
    <xf numFmtId="0" fontId="6" fillId="4" borderId="45" xfId="0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0" fontId="6" fillId="4" borderId="45" xfId="0" quotePrefix="1" applyFont="1" applyFill="1" applyBorder="1" applyAlignment="1">
      <alignment horizontal="center"/>
    </xf>
    <xf numFmtId="3" fontId="6" fillId="2" borderId="25" xfId="0" applyNumberFormat="1" applyFont="1" applyFill="1" applyBorder="1" applyAlignment="1">
      <alignment horizontal="center"/>
    </xf>
    <xf numFmtId="3" fontId="6" fillId="2" borderId="37" xfId="0" applyNumberFormat="1" applyFont="1" applyFill="1" applyBorder="1" applyAlignment="1">
      <alignment horizontal="center"/>
    </xf>
    <xf numFmtId="3" fontId="6" fillId="2" borderId="38" xfId="0" applyNumberFormat="1" applyFont="1" applyFill="1" applyBorder="1" applyAlignment="1">
      <alignment horizontal="center"/>
    </xf>
    <xf numFmtId="0" fontId="6" fillId="4" borderId="43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4" fillId="4" borderId="43" xfId="0" quotePrefix="1" applyFont="1" applyFill="1" applyBorder="1" applyAlignment="1">
      <alignment horizontal="center"/>
    </xf>
    <xf numFmtId="0" fontId="4" fillId="4" borderId="45" xfId="0" quotePrefix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4" fillId="0" borderId="0" xfId="0" quotePrefix="1" applyFont="1" applyFill="1" applyBorder="1" applyAlignment="1">
      <alignment horizontal="center"/>
    </xf>
    <xf numFmtId="0" fontId="6" fillId="4" borderId="22" xfId="0" applyFont="1" applyFill="1" applyBorder="1" applyAlignment="1">
      <alignment horizontal="center"/>
    </xf>
    <xf numFmtId="0" fontId="6" fillId="4" borderId="18" xfId="0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/>
    </xf>
    <xf numFmtId="0" fontId="12" fillId="0" borderId="0" xfId="3" applyFont="1" applyAlignment="1">
      <alignment horizontal="center"/>
    </xf>
    <xf numFmtId="0" fontId="10" fillId="0" borderId="0" xfId="3" applyAlignment="1">
      <alignment horizontal="center"/>
    </xf>
    <xf numFmtId="0" fontId="1" fillId="0" borderId="0" xfId="0" applyNumberFormat="1" applyFont="1" applyFill="1" applyBorder="1" applyAlignment="1" applyProtection="1"/>
    <xf numFmtId="166" fontId="1" fillId="0" borderId="34" xfId="0" applyNumberFormat="1" applyFont="1" applyFill="1" applyBorder="1" applyAlignment="1" applyProtection="1"/>
    <xf numFmtId="166" fontId="1" fillId="0" borderId="35" xfId="0" applyNumberFormat="1" applyFont="1" applyFill="1" applyBorder="1" applyAlignment="1" applyProtection="1"/>
    <xf numFmtId="166" fontId="1" fillId="0" borderId="36" xfId="0" applyNumberFormat="1" applyFont="1" applyFill="1" applyBorder="1" applyAlignment="1" applyProtection="1"/>
    <xf numFmtId="0" fontId="1" fillId="0" borderId="36" xfId="0" applyNumberFormat="1" applyFont="1" applyFill="1" applyBorder="1" applyAlignment="1" applyProtection="1">
      <alignment horizontal="center"/>
    </xf>
    <xf numFmtId="0" fontId="1" fillId="0" borderId="34" xfId="0" applyNumberFormat="1" applyFont="1" applyFill="1" applyBorder="1" applyAlignment="1" applyProtection="1">
      <alignment horizontal="center"/>
    </xf>
    <xf numFmtId="2" fontId="1" fillId="0" borderId="34" xfId="0" applyNumberFormat="1" applyFont="1" applyFill="1" applyBorder="1" applyAlignment="1" applyProtection="1">
      <alignment horizontal="center"/>
    </xf>
    <xf numFmtId="2" fontId="1" fillId="0" borderId="36" xfId="0" applyNumberFormat="1" applyFont="1" applyFill="1" applyBorder="1" applyAlignment="1" applyProtection="1"/>
    <xf numFmtId="165" fontId="17" fillId="9" borderId="58" xfId="0" applyNumberFormat="1" applyFont="1" applyFill="1" applyBorder="1"/>
    <xf numFmtId="165" fontId="16" fillId="9" borderId="58" xfId="0" applyNumberFormat="1" applyFont="1" applyFill="1" applyBorder="1"/>
    <xf numFmtId="165" fontId="15" fillId="10" borderId="59" xfId="0" applyNumberFormat="1" applyFont="1" applyFill="1" applyBorder="1"/>
  </cellXfs>
  <cellStyles count="7">
    <cellStyle name="Moneda" xfId="1" builtinId="4"/>
    <cellStyle name="Moneda 2" xfId="5"/>
    <cellStyle name="Normal" xfId="0" builtinId="0"/>
    <cellStyle name="Normal 2" xfId="3"/>
    <cellStyle name="Normal 3" xfId="4"/>
    <cellStyle name="Porcentaje" xfId="2" builtinId="5"/>
    <cellStyle name="Porcentaje 2" xfId="6"/>
  </cellStyles>
  <dxfs count="27">
    <dxf>
      <numFmt numFmtId="2" formatCode="0.0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numFmt numFmtId="2" formatCode="0.00"/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 style="medium">
          <color indexed="64"/>
        </bottom>
      </border>
    </dxf>
    <dxf>
      <numFmt numFmtId="166" formatCode="&quot;$&quot;\ #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numFmt numFmtId="166" formatCode="&quot;$&quot;\ #"/>
      <border diagonalUp="0" diagonalDown="0" outline="0">
        <left/>
        <right/>
        <top/>
        <bottom style="medium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 style="medium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numFmt numFmtId="166" formatCode="&quot;$&quot;\ #"/>
      <border diagonalUp="0" diagonalDown="0" outline="0">
        <left style="medium">
          <color indexed="64"/>
        </left>
        <right/>
        <top/>
        <bottom style="medium">
          <color indexed="64"/>
        </bottom>
      </border>
    </dxf>
    <dxf>
      <numFmt numFmtId="166" formatCode="&quot;$&quot;\ #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numFmt numFmtId="166" formatCode="&quot;$&quot;\ #"/>
      <border diagonalUp="0" diagonalDown="0" outline="0">
        <left/>
        <right/>
        <top/>
        <bottom style="medium">
          <color indexed="64"/>
        </bottom>
      </border>
    </dxf>
    <dxf>
      <numFmt numFmtId="166" formatCode="&quot;$&quot;\ #"/>
      <border diagonalUp="0" diagonalDown="0" outline="0">
        <left/>
        <right/>
        <top/>
        <bottom style="medium">
          <color indexed="64"/>
        </bottom>
      </border>
    </dxf>
    <dxf>
      <numFmt numFmtId="166" formatCode="&quot;$&quot;\ #"/>
      <border diagonalUp="0" diagonalDown="0" outline="0">
        <left style="medium">
          <color indexed="64"/>
        </left>
        <right/>
        <top/>
        <bottom style="medium">
          <color indexed="64"/>
        </bottom>
      </border>
    </dxf>
    <dxf>
      <numFmt numFmtId="2" formatCode="0.00"/>
      <border diagonalUp="0" diagonalDown="0">
        <left/>
        <right style="medium">
          <color indexed="64"/>
        </right>
        <top/>
        <bottom/>
        <vertical/>
        <horizontal/>
      </border>
    </dxf>
    <dxf>
      <numFmt numFmtId="2" formatCode="0.00"/>
      <alignment horizontal="center" vertical="bottom" textRotation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numFmt numFmtId="166" formatCode="&quot;$&quot;\ #"/>
      <border diagonalUp="0" diagonalDown="0">
        <left/>
        <right style="medium">
          <color indexed="64"/>
        </right>
        <top/>
        <bottom/>
        <vertical/>
        <horizontal/>
      </border>
    </dxf>
    <dxf>
      <numFmt numFmtId="166" formatCode="&quot;$&quot;\ #"/>
      <alignment horizontal="center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numFmt numFmtId="2" formatCode="0.00"/>
      <alignment horizontal="center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numFmt numFmtId="166" formatCode="&quot;$&quot;\ #"/>
      <border diagonalUp="0" diagonalDown="0">
        <left style="medium">
          <color indexed="64"/>
        </left>
        <right/>
        <top/>
        <bottom/>
        <vertical/>
        <horizontal/>
      </border>
    </dxf>
    <dxf>
      <numFmt numFmtId="166" formatCode="&quot;$&quot;\ #"/>
      <border diagonalUp="0" diagonalDown="0">
        <left/>
        <right style="medium">
          <color indexed="64"/>
        </right>
        <top/>
        <bottom/>
        <vertical/>
        <horizontal/>
      </border>
    </dxf>
    <dxf>
      <numFmt numFmtId="166" formatCode="&quot;$&quot;\ #"/>
    </dxf>
    <dxf>
      <numFmt numFmtId="166" formatCode="&quot;$&quot;\ #"/>
    </dxf>
    <dxf>
      <numFmt numFmtId="166" formatCode="&quot;$&quot;\ #"/>
      <border diagonalUp="0" diagonalDown="0">
        <left style="medium">
          <color indexed="64"/>
        </left>
        <right/>
        <top/>
        <bottom/>
        <vertical/>
        <horizontal/>
      </border>
    </dxf>
    <dxf>
      <alignment horizontal="general" vertical="bottom" textRotation="0" wrapText="1" indent="0" justifyLastLine="0" shrinkToFit="0" readingOrder="0"/>
    </dxf>
    <dxf>
      <numFmt numFmtId="2" formatCode="0.00"/>
    </dxf>
    <dxf>
      <numFmt numFmtId="1" formatCode="0"/>
    </dxf>
    <dxf>
      <numFmt numFmtId="1" formatCode="0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200"/>
              <a:t>VPN - Tasa</a:t>
            </a:r>
            <a:r>
              <a:rPr lang="en-US" sz="1200" baseline="0"/>
              <a:t> de descuento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'Analisis 3 años de proyecto'!$K$80</c:f>
              <c:strCache>
                <c:ptCount val="1"/>
                <c:pt idx="0">
                  <c:v>Tasa de descuento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delete val="1"/>
          </c:dLbls>
          <c:cat>
            <c:numRef>
              <c:f>'Analisis 3 años de proyecto'!$K$81:$K$103</c:f>
              <c:numCache>
                <c:formatCode>0%</c:formatCode>
                <c:ptCount val="22"/>
                <c:pt idx="0" formatCode="General">
                  <c:v>0</c:v>
                </c:pt>
                <c:pt idx="1">
                  <c:v>0</c:v>
                </c:pt>
                <c:pt idx="2">
                  <c:v>0.05</c:v>
                </c:pt>
                <c:pt idx="3">
                  <c:v>0.1</c:v>
                </c:pt>
                <c:pt idx="4">
                  <c:v>0.15</c:v>
                </c:pt>
                <c:pt idx="5">
                  <c:v>0.2</c:v>
                </c:pt>
                <c:pt idx="6">
                  <c:v>0.25</c:v>
                </c:pt>
                <c:pt idx="7">
                  <c:v>0.3</c:v>
                </c:pt>
                <c:pt idx="8">
                  <c:v>0.35</c:v>
                </c:pt>
                <c:pt idx="9">
                  <c:v>0.4</c:v>
                </c:pt>
                <c:pt idx="10">
                  <c:v>0.45</c:v>
                </c:pt>
                <c:pt idx="11">
                  <c:v>0.5</c:v>
                </c:pt>
                <c:pt idx="12">
                  <c:v>0.55000000000000004</c:v>
                </c:pt>
                <c:pt idx="13">
                  <c:v>0.6</c:v>
                </c:pt>
                <c:pt idx="14">
                  <c:v>0.65</c:v>
                </c:pt>
                <c:pt idx="15">
                  <c:v>0.7</c:v>
                </c:pt>
                <c:pt idx="16">
                  <c:v>0.75</c:v>
                </c:pt>
                <c:pt idx="17" formatCode="0.00%">
                  <c:v>0.83599999999999997</c:v>
                </c:pt>
                <c:pt idx="18">
                  <c:v>0.85</c:v>
                </c:pt>
                <c:pt idx="19">
                  <c:v>0.9</c:v>
                </c:pt>
                <c:pt idx="20">
                  <c:v>0.95</c:v>
                </c:pt>
                <c:pt idx="21">
                  <c:v>1</c:v>
                </c:pt>
              </c:numCache>
            </c:numRef>
          </c:cat>
          <c:val>
            <c:numRef>
              <c:f>'Analisis 3 años de proyecto'!$K$81:$K$103</c:f>
              <c:numCache>
                <c:formatCode>0%</c:formatCode>
                <c:ptCount val="22"/>
                <c:pt idx="0" formatCode="General">
                  <c:v>0</c:v>
                </c:pt>
                <c:pt idx="1">
                  <c:v>0</c:v>
                </c:pt>
                <c:pt idx="2">
                  <c:v>0.05</c:v>
                </c:pt>
                <c:pt idx="3">
                  <c:v>0.1</c:v>
                </c:pt>
                <c:pt idx="4">
                  <c:v>0.15</c:v>
                </c:pt>
                <c:pt idx="5">
                  <c:v>0.2</c:v>
                </c:pt>
                <c:pt idx="6">
                  <c:v>0.25</c:v>
                </c:pt>
                <c:pt idx="7">
                  <c:v>0.3</c:v>
                </c:pt>
                <c:pt idx="8">
                  <c:v>0.35</c:v>
                </c:pt>
                <c:pt idx="9">
                  <c:v>0.4</c:v>
                </c:pt>
                <c:pt idx="10">
                  <c:v>0.45</c:v>
                </c:pt>
                <c:pt idx="11">
                  <c:v>0.5</c:v>
                </c:pt>
                <c:pt idx="12">
                  <c:v>0.55000000000000004</c:v>
                </c:pt>
                <c:pt idx="13">
                  <c:v>0.6</c:v>
                </c:pt>
                <c:pt idx="14">
                  <c:v>0.65</c:v>
                </c:pt>
                <c:pt idx="15">
                  <c:v>0.7</c:v>
                </c:pt>
                <c:pt idx="16">
                  <c:v>0.75</c:v>
                </c:pt>
                <c:pt idx="17" formatCode="0.00%">
                  <c:v>0.83599999999999997</c:v>
                </c:pt>
                <c:pt idx="18">
                  <c:v>0.85</c:v>
                </c:pt>
                <c:pt idx="19">
                  <c:v>0.9</c:v>
                </c:pt>
                <c:pt idx="20">
                  <c:v>0.95</c:v>
                </c:pt>
                <c:pt idx="2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B9-47F2-93EC-7FC57D983D94}"/>
            </c:ext>
          </c:extLst>
        </c:ser>
        <c:ser>
          <c:idx val="1"/>
          <c:order val="1"/>
          <c:tx>
            <c:strRef>
              <c:f>'Analisis 3 años de proyecto'!$L$80</c:f>
              <c:strCache>
                <c:ptCount val="1"/>
                <c:pt idx="0">
                  <c:v>VAN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36B-4F98-B102-25A5CFE6A02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3B9-47F2-93EC-7FC57D983D9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3B9-47F2-93EC-7FC57D983D9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36B-4F98-B102-25A5CFE6A022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3B9-47F2-93EC-7FC57D983D9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36B-4F98-B102-25A5CFE6A022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3B9-47F2-93EC-7FC57D983D94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3B9-47F2-93EC-7FC57D983D94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3B9-47F2-93EC-7FC57D983D94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3B9-47F2-93EC-7FC57D983D94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3B9-47F2-93EC-7FC57D983D94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3B9-47F2-93EC-7FC57D983D94}"/>
                </c:ext>
              </c:extLst>
            </c:dLbl>
            <c:dLbl>
              <c:idx val="18"/>
              <c:layout>
                <c:manualLayout>
                  <c:x val="-3.0444918612488752E-2"/>
                  <c:y val="-0.1096529840290314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40A-4B96-AE2C-F6169845FE31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3B9-47F2-93EC-7FC57D983D94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AFC-4199-BDDF-DC8001D119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'Analisis 3 años de proyecto'!$K$81:$K$103</c:f>
              <c:numCache>
                <c:formatCode>0%</c:formatCode>
                <c:ptCount val="22"/>
                <c:pt idx="0" formatCode="General">
                  <c:v>0</c:v>
                </c:pt>
                <c:pt idx="1">
                  <c:v>0</c:v>
                </c:pt>
                <c:pt idx="2">
                  <c:v>0.05</c:v>
                </c:pt>
                <c:pt idx="3">
                  <c:v>0.1</c:v>
                </c:pt>
                <c:pt idx="4">
                  <c:v>0.15</c:v>
                </c:pt>
                <c:pt idx="5">
                  <c:v>0.2</c:v>
                </c:pt>
                <c:pt idx="6">
                  <c:v>0.25</c:v>
                </c:pt>
                <c:pt idx="7">
                  <c:v>0.3</c:v>
                </c:pt>
                <c:pt idx="8">
                  <c:v>0.35</c:v>
                </c:pt>
                <c:pt idx="9">
                  <c:v>0.4</c:v>
                </c:pt>
                <c:pt idx="10">
                  <c:v>0.45</c:v>
                </c:pt>
                <c:pt idx="11">
                  <c:v>0.5</c:v>
                </c:pt>
                <c:pt idx="12">
                  <c:v>0.55000000000000004</c:v>
                </c:pt>
                <c:pt idx="13">
                  <c:v>0.6</c:v>
                </c:pt>
                <c:pt idx="14">
                  <c:v>0.65</c:v>
                </c:pt>
                <c:pt idx="15">
                  <c:v>0.7</c:v>
                </c:pt>
                <c:pt idx="16">
                  <c:v>0.75</c:v>
                </c:pt>
                <c:pt idx="17" formatCode="0.00%">
                  <c:v>0.83599999999999997</c:v>
                </c:pt>
                <c:pt idx="18">
                  <c:v>0.85</c:v>
                </c:pt>
                <c:pt idx="19">
                  <c:v>0.9</c:v>
                </c:pt>
                <c:pt idx="20">
                  <c:v>0.95</c:v>
                </c:pt>
                <c:pt idx="21">
                  <c:v>1</c:v>
                </c:pt>
              </c:numCache>
            </c:numRef>
          </c:cat>
          <c:val>
            <c:numRef>
              <c:f>'Analisis 3 años de proyecto'!$L$81:$L$103</c:f>
              <c:numCache>
                <c:formatCode>"$"#,##0.00_);[Red]\("$"#,##0.00\)</c:formatCode>
                <c:ptCount val="22"/>
                <c:pt idx="0" formatCode="General">
                  <c:v>0</c:v>
                </c:pt>
                <c:pt idx="1">
                  <c:v>100626179.5071896</c:v>
                </c:pt>
                <c:pt idx="2">
                  <c:v>83342071.937321708</c:v>
                </c:pt>
                <c:pt idx="3">
                  <c:v>69191293.894935966</c:v>
                </c:pt>
                <c:pt idx="4">
                  <c:v>57513219.659960799</c:v>
                </c:pt>
                <c:pt idx="5">
                  <c:v>47806298.237842135</c:v>
                </c:pt>
                <c:pt idx="6">
                  <c:v>39685226.694709674</c:v>
                </c:pt>
                <c:pt idx="7">
                  <c:v>32850793.377188779</c:v>
                </c:pt>
                <c:pt idx="8">
                  <c:v>27068327.93363937</c:v>
                </c:pt>
                <c:pt idx="9">
                  <c:v>22152092.295276068</c:v>
                </c:pt>
                <c:pt idx="10">
                  <c:v>17953833.221603945</c:v>
                </c:pt>
                <c:pt idx="11">
                  <c:v>14354289.772045171</c:v>
                </c:pt>
                <c:pt idx="12">
                  <c:v>11256825.426352341</c:v>
                </c:pt>
                <c:pt idx="13">
                  <c:v>8582605.7658516895</c:v>
                </c:pt>
                <c:pt idx="14">
                  <c:v>6266912.7145314449</c:v>
                </c:pt>
                <c:pt idx="15">
                  <c:v>4256303.0667750584</c:v>
                </c:pt>
                <c:pt idx="16">
                  <c:v>2506400.1464410382</c:v>
                </c:pt>
                <c:pt idx="17">
                  <c:v>2127.1463286513081</c:v>
                </c:pt>
                <c:pt idx="18">
                  <c:v>-353470.1114229777</c:v>
                </c:pt>
                <c:pt idx="19">
                  <c:v>-1520679.3980282859</c:v>
                </c:pt>
                <c:pt idx="20">
                  <c:v>-2543614.0406208122</c:v>
                </c:pt>
                <c:pt idx="21">
                  <c:v>-3441095.0874193944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B9-47F2-93EC-7FC57D983D9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854848192"/>
        <c:axId val="1854844864"/>
      </c:lineChart>
      <c:catAx>
        <c:axId val="1854848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4844864"/>
        <c:crossesAt val="0"/>
        <c:auto val="1"/>
        <c:lblAlgn val="ctr"/>
        <c:lblOffset val="100"/>
        <c:noMultiLvlLbl val="0"/>
      </c:catAx>
      <c:valAx>
        <c:axId val="1854844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&quot;$&quot;\ #.#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4848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72</xdr:row>
      <xdr:rowOff>152399</xdr:rowOff>
    </xdr:from>
    <xdr:to>
      <xdr:col>9</xdr:col>
      <xdr:colOff>2166258</xdr:colOff>
      <xdr:row>100</xdr:row>
      <xdr:rowOff>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1345</xdr:colOff>
      <xdr:row>0</xdr:row>
      <xdr:rowOff>108475</xdr:rowOff>
    </xdr:from>
    <xdr:to>
      <xdr:col>17</xdr:col>
      <xdr:colOff>0</xdr:colOff>
      <xdr:row>12</xdr:row>
      <xdr:rowOff>62754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20000" contrast="40000"/>
                  </a14:imgEffect>
                </a14:imgLayer>
              </a14:imgProps>
            </a:ext>
          </a:extLst>
        </a:blip>
        <a:srcRect l="-543" t="2007" r="5271" b="-2007"/>
        <a:stretch/>
      </xdr:blipFill>
      <xdr:spPr>
        <a:xfrm>
          <a:off x="12079045" y="108475"/>
          <a:ext cx="3168575" cy="2712719"/>
        </a:xfrm>
        <a:prstGeom prst="rect">
          <a:avLst/>
        </a:prstGeom>
      </xdr:spPr>
    </xdr:pic>
    <xdr:clientData/>
  </xdr:twoCellAnchor>
  <xdr:twoCellAnchor editAs="oneCell">
    <xdr:from>
      <xdr:col>3</xdr:col>
      <xdr:colOff>17931</xdr:colOff>
      <xdr:row>11</xdr:row>
      <xdr:rowOff>1</xdr:rowOff>
    </xdr:from>
    <xdr:to>
      <xdr:col>13</xdr:col>
      <xdr:colOff>0</xdr:colOff>
      <xdr:row>30</xdr:row>
      <xdr:rowOff>0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637" y="2537013"/>
          <a:ext cx="9188822" cy="34245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259976</xdr:colOff>
      <xdr:row>19</xdr:row>
      <xdr:rowOff>13446</xdr:rowOff>
    </xdr:from>
    <xdr:ext cx="2384612" cy="44178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uadroTexto 3"/>
            <xdr:cNvSpPr txBox="1"/>
          </xdr:nvSpPr>
          <xdr:spPr>
            <a:xfrm>
              <a:off x="259976" y="4059666"/>
              <a:ext cx="2384612" cy="44178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2000"/>
                <a:t>Q = </a:t>
              </a:r>
              <a14:m>
                <m:oMath xmlns:m="http://schemas.openxmlformats.org/officeDocument/2006/math">
                  <m:f>
                    <m:fPr>
                      <m:ctrlPr>
                        <a:rPr lang="en-US" sz="20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en-US" sz="2000" i="1">
                          <a:latin typeface="Cambria Math" panose="02040503050406030204" pitchFamily="18" charset="0"/>
                        </a:rPr>
                        <m:t>1524415</m:t>
                      </m:r>
                    </m:num>
                    <m:den>
                      <m:r>
                        <a:rPr lang="en-US" sz="2000" i="1">
                          <a:latin typeface="Cambria Math" panose="02040503050406030204" pitchFamily="18" charset="0"/>
                        </a:rPr>
                        <m:t>10322591</m:t>
                      </m:r>
                      <m:r>
                        <a:rPr lang="es-CO" sz="2000" b="0" i="1">
                          <a:latin typeface="Cambria Math" panose="02040503050406030204" pitchFamily="18" charset="0"/>
                        </a:rPr>
                        <m:t>−235846</m:t>
                      </m:r>
                    </m:den>
                  </m:f>
                </m:oMath>
              </a14:m>
              <a:endParaRPr lang="en-US" sz="2000"/>
            </a:p>
          </xdr:txBody>
        </xdr:sp>
      </mc:Choice>
      <mc:Fallback xmlns="">
        <xdr:sp macro="" textlink="">
          <xdr:nvSpPr>
            <xdr:cNvPr id="4" name="CuadroTexto 3"/>
            <xdr:cNvSpPr txBox="1"/>
          </xdr:nvSpPr>
          <xdr:spPr>
            <a:xfrm>
              <a:off x="259976" y="4059666"/>
              <a:ext cx="2384612" cy="44178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2000"/>
                <a:t>Q = </a:t>
              </a:r>
              <a:r>
                <a:rPr lang="en-US" sz="2000" i="0">
                  <a:latin typeface="Cambria Math" panose="02040503050406030204" pitchFamily="18" charset="0"/>
                </a:rPr>
                <a:t>1524415/(10322591</a:t>
              </a:r>
              <a:r>
                <a:rPr lang="es-CO" sz="2000" b="0" i="0">
                  <a:latin typeface="Cambria Math" panose="02040503050406030204" pitchFamily="18" charset="0"/>
                </a:rPr>
                <a:t>−235846</a:t>
              </a:r>
              <a:r>
                <a:rPr lang="en-US" sz="2000" b="0" i="0">
                  <a:latin typeface="Cambria Math" panose="02040503050406030204" pitchFamily="18" charset="0"/>
                </a:rPr>
                <a:t>)</a:t>
              </a:r>
              <a:endParaRPr lang="en-US" sz="2000"/>
            </a:p>
          </xdr:txBody>
        </xdr:sp>
      </mc:Fallback>
    </mc:AlternateContent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ANALISIS%203%20A&#209;OS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ISEÑO" refreshedDate="44677.702501388892" createdVersion="1" refreshedVersion="7" recordCount="77">
  <cacheSource type="worksheet">
    <worksheetSource ref="A1:O78" sheet="ExportarAExcel" r:id="rId2"/>
  </cacheSource>
  <cacheFields count="15">
    <cacheField name="Texto120" numFmtId="4">
      <sharedItems/>
    </cacheField>
    <cacheField name="NombreCuentaNivel1T" numFmtId="0">
      <sharedItems count="3">
        <s v="1 ACTIVO"/>
        <s v="2 PASIVO"/>
        <s v="3 PATRIMONIO"/>
      </sharedItems>
    </cacheField>
    <cacheField name="Texto122" numFmtId="4">
      <sharedItems/>
    </cacheField>
    <cacheField name="NombreCuentaNivel2T" numFmtId="0">
      <sharedItems count="14">
        <s v="11 DISPONIBLE"/>
        <s v="13 DEUDORES"/>
        <s v="14 INVENTARIOS"/>
        <s v="15 PROPIEDADES PLANTA Y EQUIPO"/>
        <s v="16 INTANGIBLES"/>
        <s v="17 DIFERIDOS"/>
        <s v="23 CUENTAS POR PAGAR"/>
        <s v="24 IMPUESTOS, GRAVAMENES Y TASAS"/>
        <s v="25 OBLIGACIONES LABORALES"/>
        <s v="26 PASIVOS ESTIMADOS Y PROVISIONES"/>
        <s v="28 OTROS PASIVOS"/>
        <s v="31 CAPITAL SOCIAL"/>
        <s v="36 RESULTADOS DEL EJERCICIO"/>
        <s v="37 RESULTADOS DE EJERCICIOS ANTERIORES"/>
      </sharedItems>
    </cacheField>
    <cacheField name="Texto123" numFmtId="4">
      <sharedItems/>
    </cacheField>
    <cacheField name="NombreCuentaNivel3T" numFmtId="0">
      <sharedItems count="34">
        <s v="1105 CAJA"/>
        <s v="1110 BANCOS"/>
        <s v="1120 CUENTAS DE AHORRO"/>
        <s v="1305 CLIENTES"/>
        <s v="1330 ANTICIPOS Y AVANCES"/>
        <s v="1355 ANTICIPO DE IMPUESTOS Y CONTRIBUCIONES O SALDOS A FAVOR"/>
        <s v="1405 MATERIAS PRIMAS"/>
        <s v="1435 MERCANCIAS NO FABRICADAS POR LA EMPRESA"/>
        <s v="1512 MAQUINARIA Y EQUIPOS EN MONTAJE"/>
        <s v="1520 MAQUINARIA Y EQUIPO"/>
        <s v="1524 EQUIPO DE OFICINA"/>
        <s v="1592 DEPRECIACION ACUMULADA"/>
        <s v="1635 LICENCIAS"/>
        <s v="1698 AMORTIZACION ACUMULADA"/>
        <s v="1705 GASTOS PAGADOS POR ANTICIPADO"/>
        <s v="1710 CARGOS DIFERIDOS"/>
        <s v="2365 RETENCION EN LA FUENTE"/>
        <s v="2368 IMPUESTO DE INDUSTRIA Y COMERCIO RETENIDO"/>
        <s v="2370 RETENCIONES Y APORTES DE NOMINA"/>
        <s v="2380 ACREEDORES VARIOS"/>
        <s v="2404 DE RENTA Y COMPLEMENTARIOS"/>
        <s v="2408 IMPUESTO SOBRE LAS VENTAS POR PAGAR"/>
        <s v="2412 DE INDUSTRIA Y COMERCIO"/>
        <s v="2510 CESANTIAS CONSOLIDADAS"/>
        <s v="2515 INTERESES SOBRE CESANTIAS"/>
        <s v="2520 PRIMA DE SERVICIOS"/>
        <s v="2525 VACACIONES CONSOLIDADAS"/>
        <s v="2530 PRESTACIONES EXTRALEGALES"/>
        <s v="2610 PARA OBLIGACIONES LABORALES"/>
        <s v="2810 DEPOSITOS RECIBIDOS"/>
        <s v="3105 CAPITAL SUSCRITO Y PAGADO"/>
        <s v="3605 UTILIDAD DEL EJERCICIO"/>
        <s v="3705 UTILIDADES O EXCEDENTES ACUMULADOS"/>
        <s v="3710 PERDIDAS ACUMULADAS"/>
      </sharedItems>
    </cacheField>
    <cacheField name="Texto132" numFmtId="4">
      <sharedItems/>
    </cacheField>
    <cacheField name="NombreCuentaNivel4T" numFmtId="0">
      <sharedItems count="57">
        <s v="110505 CAJA GENERAL"/>
        <s v="110510 CAJAS MENORES"/>
        <s v="111005 MONEDA NACIONAL"/>
        <s v="112005 BANCOS"/>
        <s v="130505 NACIONALES"/>
        <s v="133005 A PROVEEDORES"/>
        <s v="133015 A TRABAJADORES"/>
        <s v="135515 RETENCION EN LA FUENTE"/>
        <s v="135517 IMPUESTO A LAS VENTAS RETENIDO"/>
        <s v="135518 IMPUESTO DE INDUSTRIA Y COMERCIO RETENIDO"/>
        <s v="1405 MATERIAS PRIMAS"/>
        <s v="1435 MERCANCIAS NO FABRICADAS POR LA EMPRESA"/>
        <s v="151210 EQUIPO DE OFICINA"/>
        <s v="152005 MAQUINARIA Y EQUIPO"/>
        <s v="152405 MUEBLES Y ENSERES"/>
        <s v="152410 EQUIPOS"/>
        <s v="152495 OTROS"/>
        <s v="159210 MAQUINARIA Y EQUIPO"/>
        <s v="159215 EQUIPO DE OFICINA"/>
        <s v="159220 EQUIPO DE COMPUTACION Y COMUNICACION"/>
        <s v="163501 LICENCIA SOFTWARE CONTABLE"/>
        <s v="163599 AJUSTES POR INFLACION"/>
        <s v="169840 LICENCIAS"/>
        <s v="170535 MANTENIMIENTO EQUIPOS"/>
        <s v="171040 LICENCIAS"/>
        <s v="236525 SERVICIOS"/>
        <s v="236530 ARRENDAMIENTOS"/>
        <s v="236540 COMPRAS"/>
        <s v="236575 AUTORRETENCIONES"/>
        <s v="236580 RETEFUENTE POR PAGAR"/>
        <s v="236801 ICA RETENIDO"/>
        <s v="236880 RETEICA POR PAGAR"/>
        <s v="237005 APORTES EPS"/>
        <s v="237006 APORTES  A.R.P."/>
        <s v="237010 APORTES AL I.C.B.F., SENA Y CAJAS DE COMPENSACION"/>
        <s v="238030 FONDOS DE CESANTIAS Y/O PENSIONES"/>
        <s v="240405 VIGENCIA FISCAL CORRIENTE"/>
        <s v="240801 IVA GENERADO"/>
        <s v="240802 IVA DESCONTABLE"/>
        <s v="240803 IVA POR PAGAR LIQUIDACION"/>
        <s v="240880 IVA POR PAGAR"/>
        <s v="241205 VIGENCIA FISCAL CORRIENTE"/>
        <s v="251010 LEY 50 DE 1990 Y NORMAS POSTERIORES"/>
        <s v="251501 INTERESES SOBRE CESANTIAS"/>
        <s v="252001 PRIMA DE SERVICIOS"/>
        <s v="252501 VACACIONES"/>
        <s v="253005 PRIMAS"/>
        <s v="261005 CESANTIAS"/>
        <s v="261010 INTERESES SOBRE CESANTIAS"/>
        <s v="261015 VACACIONES"/>
        <s v="261020 PRIMA DE SERVICIOS"/>
        <s v="281005 PARA FUTURA SUSCRIPCION DE ACCIONES"/>
        <s v="310505 CAPITAL AUTORIZADO"/>
        <s v="310510 CAPITAL POR SUSCRIBIR (DB)"/>
        <s v="360505 UTILIDAD DEL EJERCICIO"/>
        <s v="370505 UTILIDADES ACUMULADAS"/>
        <s v="371005 PERDIDAS ACUMULADAS"/>
      </sharedItems>
    </cacheField>
    <cacheField name="CodCuentaNivel5" numFmtId="4">
      <sharedItems count="77">
        <s v="11050501"/>
        <s v="11051001"/>
        <s v="11100502"/>
        <s v="11100503"/>
        <s v="11200501"/>
        <s v="13050501"/>
        <s v="133005"/>
        <s v="133015"/>
        <s v="13551501"/>
        <s v="13551502"/>
        <s v="13551511"/>
        <s v="13551701"/>
        <s v="13551702"/>
        <s v="13551801"/>
        <s v="13551802"/>
        <s v="13551805"/>
        <s v="1405"/>
        <s v="1435"/>
        <s v="151210"/>
        <s v="152005"/>
        <s v="152405"/>
        <s v="152410"/>
        <s v="152495"/>
        <s v="159210"/>
        <s v="159215"/>
        <s v="159220"/>
        <s v="163501"/>
        <s v="163599"/>
        <s v="169840"/>
        <s v="170535"/>
        <s v="171040"/>
        <s v="23652502"/>
        <s v="23652503"/>
        <s v="23653001"/>
        <s v="23654001"/>
        <s v="23654005"/>
        <s v="23657501"/>
        <s v="23657502"/>
        <s v="23658001"/>
        <s v="23680101"/>
        <s v="23680102"/>
        <s v="23680103"/>
        <s v="23688001"/>
        <s v="23700504"/>
        <s v="23700505"/>
        <s v="23700507"/>
        <s v="23700601"/>
        <s v="23701001"/>
        <s v="23803001"/>
        <s v="23803002"/>
        <s v="23803004"/>
        <s v="240405"/>
        <s v="24080101"/>
        <s v="24080201"/>
        <s v="24080203"/>
        <s v="24080205"/>
        <s v="24080206"/>
        <s v="24080210"/>
        <s v="24080221"/>
        <s v="240803"/>
        <s v="24088001"/>
        <s v="241205"/>
        <s v="251010"/>
        <s v="251501"/>
        <s v="252001"/>
        <s v="252501"/>
        <s v="253005"/>
        <s v="261005"/>
        <s v="261010"/>
        <s v="261015"/>
        <s v="261020"/>
        <s v="281005"/>
        <s v="310505"/>
        <s v="310510"/>
        <s v="360505"/>
        <s v="370505"/>
        <s v="371005"/>
      </sharedItems>
    </cacheField>
    <cacheField name="NombreCuentaNivel5T" numFmtId="0">
      <sharedItems count="77">
        <s v="11050501 CAJA GENERAL"/>
        <s v="11051001 CAJA MENOR GERENCIA"/>
        <s v="11100502 BANCO CAJA SOCIAL"/>
        <s v="11100503 BANCO BANCOLOMBIA"/>
        <s v="11200501 Banco Caja Social Ahorros N° 04097016500"/>
        <s v="13050501 DEUDORES NACIONALES"/>
        <s v="133005 A PROVEEDORES"/>
        <s v="133015 A TRABAJADORES"/>
        <s v="13551501 RETENCION DEBITO POR VENTAS DE PRODUCTOS"/>
        <s v="13551502 RETENCION VENTA SERVICIOS 4%"/>
        <s v="13551511 AUTORRETENCION DEL CREE"/>
        <s v="13551701 RETENCION DE IVA POR VENTA DE PRODUCTOS"/>
        <s v="13551702 RETENCION DE IVA POR VENTA DE SERVICIOS"/>
        <s v="13551801 RETENCION DE ICA POR VENTA DE PRODUCTOS"/>
        <s v="13551802 RETENCION ICA SERVICIOS 11,04X1000"/>
        <s v="13551805 RETENCION DE ICA VENTA DE SERVICIOS DE TRANSPORTE"/>
        <s v="1405 MATERIAS PRIMAS"/>
        <s v="1435 MERCANCIAS NO FABRICADAS POR LA EMPRESA"/>
        <s v="151210 EQUIPO DE OFICINA"/>
        <s v="152005 MAQUINARIA Y EQUIPO"/>
        <s v="152405 MUEBLES Y ENSERES"/>
        <s v="152410 EQUIPOS"/>
        <s v="152495 OTROS"/>
        <s v="159210 MAQUINARIA Y EQUIPO"/>
        <s v="159215 EQUIPO DE OFICINA"/>
        <s v="159220 EQUIPO DE COMPUTACION Y COMUNICACION"/>
        <s v="163501 LICENCIA SOFTWARE CONTABLE"/>
        <s v="163599 AJUSTES POR INFLACION"/>
        <s v="169840 LICENCIAS"/>
        <s v="170535 MANTENIMIENTO EQUIPOS"/>
        <s v="171040 LICENCIAS"/>
        <s v="23652502 SERVICIOS GENERALES DECLARANTES 4%"/>
        <s v="23652503 SERVICIOS TRANSPORTE DE CARGA 1%"/>
        <s v="23653001 ARRENDAMIENTO BIENES MUEBLES 4%"/>
        <s v="23654001 RETENCION POR COMPRAS (DECLARANTES) 2.5%"/>
        <s v="23654005 RETENCION POR COMPRAS (NO DECLARANTES) 3.5%"/>
        <s v="23657501 AUTORRETENCION DEL CREE"/>
        <s v="23657502 AUTORENTA"/>
        <s v="23658001 RETEFUENTE POR PAGAR"/>
        <s v="23680101 RETENCION DE ICA COMPRAS"/>
        <s v="23680102 RETENCION DE ICA SERVICIOS"/>
        <s v="23680103 RETENCION DE ICA HONORARIOS"/>
        <s v="23688001 RETEICA POR PAGAR"/>
        <s v="23700504 FAMISANAR EPS CAFAM - COLSUBSIDIO"/>
        <s v="23700505 NUEVA EPS"/>
        <s v="23700507 SANITAS EPS"/>
        <s v="23700601 ARL SURA"/>
        <s v="23701001 CAJA COLOMBIANA DE SUBSIDIO FAMILIAR COLSUBSIDIO"/>
        <s v="23803001 COLFONDOS S.A. AFPC"/>
        <s v="23803002 COLPENSIONES"/>
        <s v="23803004 PROTECCIÓN S.A. AFPC"/>
        <s v="240405 VIGENCIA FISCAL CORRIENTE"/>
        <s v="24080101 IVA GENERADO VENTAS 19%"/>
        <s v="24080201 IVA POR COMPRAS 19%"/>
        <s v="24080203 IVA POR SERVICIOS 19%"/>
        <s v="24080205 IVA POR HONORARIOS 19%"/>
        <s v="24080206 IVA POR ARRENDAMIENTOS"/>
        <s v="24080210 IVA POR DEVOLUCIONES EN VENTAS 19%"/>
        <s v="24080221 IVA POR COMPRAS 5%"/>
        <s v="240803 IVA POR PAGAR LIQUIDACION"/>
        <s v="24088001 IVA POR PAGAR"/>
        <s v="241205 VIGENCIA FISCAL CORRIENTE"/>
        <s v="251010 LEY 50 DE 1990 Y NORMAS POSTERIORES"/>
        <s v="251501 INTERESES SOBRE CESANTIAS"/>
        <s v="252001 PRIMA DE SERVICIOS"/>
        <s v="252501 VACACIONES"/>
        <s v="253005 PRIMAS"/>
        <s v="261005 CESANTIAS"/>
        <s v="261010 INTERESES SOBRE CESANTIAS"/>
        <s v="261015 VACACIONES"/>
        <s v="261020 PRIMA DE SERVICIOS"/>
        <s v="281005 PARA FUTURA SUSCRIPCION DE ACCIONES"/>
        <s v="310505 CAPITAL AUTORIZADO"/>
        <s v="310510 CAPITAL POR SUSCRIBIR (DB)"/>
        <s v="360505 UTILIDAD DEL EJERCICIO"/>
        <s v="370505 UTILIDADES ACUMULADAS"/>
        <s v="371005 PERDIDAS ACUMULADAS"/>
      </sharedItems>
    </cacheField>
    <cacheField name="TotalCodNivel5" numFmtId="4">
      <sharedItems containsSemiMixedTypes="0" containsString="0" containsNumber="1" minValue="-90000000" maxValue="100000000" count="76">
        <n v="9178980.5615999997"/>
        <n v="1000000"/>
        <n v="2346456"/>
        <n v="754731.25216000003"/>
        <n v="11811634.7896"/>
        <n v="6268660"/>
        <n v="5936409"/>
        <n v="5798646"/>
        <n v="8572583"/>
        <n v="9312202.9299999997"/>
        <n v="79000"/>
        <n v="-2433000"/>
        <n v="4539824.5060000001"/>
        <n v="-605765"/>
        <n v="1175953"/>
        <n v="375388.06063999998"/>
        <n v="2575578.79"/>
        <n v="37815"/>
        <n v="3540000"/>
        <n v="88630477"/>
        <n v="1084000"/>
        <n v="6914857"/>
        <n v="279900"/>
        <n v="-14947902"/>
        <n v="-3772000"/>
        <n v="-62045"/>
        <n v="1278000"/>
        <n v="4721002"/>
        <n v="-1081695"/>
        <n v="100858"/>
        <n v="50945"/>
        <n v="163572"/>
        <n v="592704"/>
        <n v="800"/>
        <n v="1750351"/>
        <n v="165235"/>
        <n v="-921000"/>
        <n v="229000"/>
        <n v="-2238000"/>
        <n v="898330"/>
        <n v="28139"/>
        <n v="5796"/>
        <n v="-352000"/>
        <n v="16400"/>
        <n v="2000"/>
        <n v="-36000"/>
        <n v="-4700"/>
        <n v="56420"/>
        <n v="-144000"/>
        <n v="9600"/>
        <n v="64000"/>
        <n v="6399000"/>
        <n v="15062566.42"/>
        <n v="-21092395"/>
        <n v="-1102015"/>
        <n v="-227810"/>
        <n v="-3800"/>
        <n v="-59463"/>
        <n v="-6776"/>
        <n v="2349000"/>
        <n v="-3664000"/>
        <n v="314000"/>
        <n v="3105611"/>
        <n v="374906"/>
        <n v="-177280"/>
        <n v="241125"/>
        <n v="3711223"/>
        <n v="320314"/>
        <n v="38454"/>
        <n v="1333307"/>
        <n v="33239792"/>
        <n v="100000000"/>
        <n v="-90000000"/>
        <n v="53925577.040689997"/>
        <n v="50583821.108965002"/>
        <n v="-1810622.86"/>
      </sharedItems>
    </cacheField>
    <cacheField name="TxtCta_Formato" numFmtId="4">
      <sharedItems/>
    </cacheField>
    <cacheField name="Cuenta Tercero" numFmtId="4">
      <sharedItems count="69">
        <s v="CAJA GENERAL"/>
        <s v="CAJA MENOR GERENCIA"/>
        <s v="BANCO CAJA SOCIAL"/>
        <s v="BANCO BANCOLOMBIA"/>
        <s v="Banco Caja Social Ahorros N° 04097016500"/>
        <s v="DEUDORES NACIONALES"/>
        <s v="A PROVEEDORES"/>
        <s v="A TRABAJADORES"/>
        <s v="RETENCION DEBITO POR VENTAS DE PRODUCTOS"/>
        <s v="RETENCION VENTA SERVICIOS 4%"/>
        <s v="AUTORRETENCION DEL CREE"/>
        <s v="RETENCION DE IVA POR VENTA DE PRODUCTOS"/>
        <s v="RETENCION DE IVA POR VENTA DE SERVICIOS"/>
        <s v="RETENCION DE ICA POR VENTA DE PRODUCTOS"/>
        <s v="RETENCION ICA SERVICIOS 11,04X1000"/>
        <s v="RETENCION DE ICA VENTA DE SERVICIOS DE TRANSPORTE"/>
        <s v="MATERIAS PRIMAS"/>
        <s v="MERCANCIAS NO FABRICADAS POR LA EMPRESA"/>
        <s v="EQUIPO DE OFICINA"/>
        <s v="MAQUINARIA Y EQUIPO"/>
        <s v="MUEBLES Y ENSERES"/>
        <s v="EQUIPOS"/>
        <s v="OTROS"/>
        <s v="EQUIPO DE COMPUTACION Y COMUNICACION"/>
        <s v="LICENCIA SOFTWARE CONTABLE"/>
        <s v="AJUSTES POR INFLACION"/>
        <s v="LICENCIAS"/>
        <s v="MANTENIMIENTO EQUIPOS"/>
        <s v="SERVICIOS GENERALES DECLARANTES 4%"/>
        <s v="SERVICIOS TRANSPORTE DE CARGA 1%"/>
        <s v="ARRENDAMIENTO BIENES MUEBLES 4%"/>
        <s v="RETENCION POR COMPRAS (DECLARANTES) 2.5%"/>
        <s v="RETENCION POR COMPRAS (NO DECLARANTES) 3.5%"/>
        <s v="AUTORENTA"/>
        <s v="RETEFUENTE POR PAGAR"/>
        <s v="RETENCION ICA COMPRAS BOGOTA 11,04X1000"/>
        <s v="RETENCION DE ICA SERVICIOS"/>
        <s v="RETENCION DE ICA HONORARIOS"/>
        <s v="RETEICA POR PAGAR"/>
        <s v="FAMISANAR EPS CAFAM - COLSUBSIDIO"/>
        <s v="NUEVA EPS"/>
        <s v="SANITAS EPS"/>
        <s v="ARL SURA"/>
        <s v="CAJA COLOMBIANA DE SUBSIDIO FAMILIAR COLSUBSIDIO"/>
        <s v="COLFONDOS S.A. AFPC"/>
        <s v="COLPENSIONES"/>
        <s v="PROTECCIÓN S.A. AFPC"/>
        <s v="VIGENCIA FISCAL CORRIENTE"/>
        <s v="IVA GENERADO VENTAS 19%"/>
        <s v="IVA POR COMPRAS 19%"/>
        <s v="IVA POR SERVICIOS 19%"/>
        <s v="IVA POR HONORARIOS 19%"/>
        <s v="IVA POR ARRENDAMIENTOS"/>
        <s v="IVA POR DEVOLUCIONES EN VENTAS 19%"/>
        <s v="IVA POR COMPRAS 5%"/>
        <s v="IVA POR PAGAR LIQUIDACION"/>
        <s v="IVA POR PAGAR"/>
        <s v="LEY 50 DE 1990 Y NORMAS POSTERIORES"/>
        <s v="INTERESES SOBRE CESANTIAS"/>
        <s v="PRIMA DE SERVICIOS"/>
        <s v="VACACIONES"/>
        <s v="PRIMAS"/>
        <s v="CESANTIAS"/>
        <s v="PARA FUTURA SUSCRIPCION DE ACCIONES"/>
        <s v="CAPITAL AUTORIZADO"/>
        <s v="CAPITAL POR SUSCRIBIR (DB)"/>
        <s v="Utilidad"/>
        <s v="UTILIDADES ACUMULADAS"/>
        <s v="PERDIDAS ACUMULADAS"/>
      </sharedItems>
    </cacheField>
    <cacheField name="Mar" numFmtId="4">
      <sharedItems containsSemiMixedTypes="0" containsString="0" containsNumber="1" minValue="-90000000" maxValue="100000000" count="76">
        <n v="9178980.5615999997"/>
        <n v="1000000"/>
        <n v="2346456"/>
        <n v="754731.25216000003"/>
        <n v="11811634.7896"/>
        <n v="6268660"/>
        <n v="5936409"/>
        <n v="5798646"/>
        <n v="8572583"/>
        <n v="9312202.9299999997"/>
        <n v="79000"/>
        <n v="-2433000"/>
        <n v="4539824.5060000001"/>
        <n v="-605765"/>
        <n v="1175953"/>
        <n v="375388.06063999998"/>
        <n v="2575578.79"/>
        <n v="37815"/>
        <n v="3540000"/>
        <n v="88630477"/>
        <n v="1084000"/>
        <n v="6914857"/>
        <n v="279900"/>
        <n v="-14947902"/>
        <n v="-3772000"/>
        <n v="-62045"/>
        <n v="1278000"/>
        <n v="4721002"/>
        <n v="-1081695"/>
        <n v="100858"/>
        <n v="50945"/>
        <n v="163572"/>
        <n v="592704"/>
        <n v="800"/>
        <n v="1750351"/>
        <n v="165235"/>
        <n v="-921000"/>
        <n v="229000"/>
        <n v="-2238000"/>
        <n v="898330"/>
        <n v="28139"/>
        <n v="5796"/>
        <n v="-352000"/>
        <n v="16400"/>
        <n v="2000"/>
        <n v="-36000"/>
        <n v="-4700"/>
        <n v="56420"/>
        <n v="-144000"/>
        <n v="9600"/>
        <n v="64000"/>
        <n v="6399000"/>
        <n v="15062566.42"/>
        <n v="-21092395"/>
        <n v="-1102015"/>
        <n v="-227810"/>
        <n v="-3800"/>
        <n v="-59463"/>
        <n v="-6776"/>
        <n v="2349000"/>
        <n v="-3664000"/>
        <n v="314000"/>
        <n v="3105611"/>
        <n v="374906"/>
        <n v="-177280"/>
        <n v="241125"/>
        <n v="3711223"/>
        <n v="320314"/>
        <n v="38454"/>
        <n v="1333307"/>
        <n v="33239792"/>
        <n v="100000000"/>
        <n v="-90000000"/>
        <n v="53925577.040689997"/>
        <n v="50583821.108965002"/>
        <n v="-1810622.86"/>
      </sharedItems>
    </cacheField>
    <cacheField name="PASYPAT" numFmtId="4">
      <sharedItems containsMixedTypes="1" containsNumber="1" minValue="-90000000" maxValue="1000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7">
  <r>
    <s v="1"/>
    <x v="0"/>
    <s v="11"/>
    <x v="0"/>
    <s v="1105"/>
    <x v="0"/>
    <s v="110505"/>
    <x v="0"/>
    <x v="0"/>
    <x v="0"/>
    <x v="0"/>
    <s v="11050501"/>
    <x v="0"/>
    <x v="0"/>
    <s v=""/>
  </r>
  <r>
    <s v="1"/>
    <x v="0"/>
    <s v="11"/>
    <x v="0"/>
    <s v="1105"/>
    <x v="0"/>
    <s v="110510"/>
    <x v="1"/>
    <x v="1"/>
    <x v="1"/>
    <x v="1"/>
    <s v="11051001"/>
    <x v="1"/>
    <x v="1"/>
    <s v=""/>
  </r>
  <r>
    <s v="1"/>
    <x v="0"/>
    <s v="11"/>
    <x v="0"/>
    <s v="1110"/>
    <x v="1"/>
    <s v="111005"/>
    <x v="2"/>
    <x v="2"/>
    <x v="2"/>
    <x v="2"/>
    <s v="11100502"/>
    <x v="2"/>
    <x v="2"/>
    <s v=""/>
  </r>
  <r>
    <s v="1"/>
    <x v="0"/>
    <s v="11"/>
    <x v="0"/>
    <s v="1110"/>
    <x v="1"/>
    <s v="111005"/>
    <x v="2"/>
    <x v="3"/>
    <x v="3"/>
    <x v="3"/>
    <s v="11100503"/>
    <x v="3"/>
    <x v="3"/>
    <s v=""/>
  </r>
  <r>
    <s v="1"/>
    <x v="0"/>
    <s v="11"/>
    <x v="0"/>
    <s v="1120"/>
    <x v="2"/>
    <s v="112005"/>
    <x v="3"/>
    <x v="4"/>
    <x v="4"/>
    <x v="4"/>
    <s v="11200501"/>
    <x v="4"/>
    <x v="4"/>
    <s v=""/>
  </r>
  <r>
    <s v="1"/>
    <x v="0"/>
    <s v="13"/>
    <x v="1"/>
    <s v="1305"/>
    <x v="3"/>
    <s v="130505"/>
    <x v="4"/>
    <x v="5"/>
    <x v="5"/>
    <x v="5"/>
    <s v="13050501"/>
    <x v="5"/>
    <x v="5"/>
    <s v=""/>
  </r>
  <r>
    <s v="1"/>
    <x v="0"/>
    <s v="13"/>
    <x v="1"/>
    <s v="1330"/>
    <x v="4"/>
    <s v="133005"/>
    <x v="5"/>
    <x v="6"/>
    <x v="6"/>
    <x v="6"/>
    <s v="133005"/>
    <x v="6"/>
    <x v="6"/>
    <s v=""/>
  </r>
  <r>
    <s v="1"/>
    <x v="0"/>
    <s v="13"/>
    <x v="1"/>
    <s v="1330"/>
    <x v="4"/>
    <s v="133015"/>
    <x v="6"/>
    <x v="7"/>
    <x v="7"/>
    <x v="7"/>
    <s v="133015"/>
    <x v="7"/>
    <x v="7"/>
    <s v=""/>
  </r>
  <r>
    <s v="1"/>
    <x v="0"/>
    <s v="13"/>
    <x v="1"/>
    <s v="1355"/>
    <x v="5"/>
    <s v="135515"/>
    <x v="7"/>
    <x v="8"/>
    <x v="8"/>
    <x v="8"/>
    <s v="13551501"/>
    <x v="8"/>
    <x v="8"/>
    <s v=""/>
  </r>
  <r>
    <s v="1"/>
    <x v="0"/>
    <s v="13"/>
    <x v="1"/>
    <s v="1355"/>
    <x v="5"/>
    <s v="135515"/>
    <x v="7"/>
    <x v="9"/>
    <x v="9"/>
    <x v="9"/>
    <s v="13551502"/>
    <x v="9"/>
    <x v="9"/>
    <s v=""/>
  </r>
  <r>
    <s v="1"/>
    <x v="0"/>
    <s v="13"/>
    <x v="1"/>
    <s v="1355"/>
    <x v="5"/>
    <s v="135515"/>
    <x v="7"/>
    <x v="10"/>
    <x v="10"/>
    <x v="10"/>
    <s v="13551511"/>
    <x v="10"/>
    <x v="10"/>
    <s v=""/>
  </r>
  <r>
    <s v="1"/>
    <x v="0"/>
    <s v="13"/>
    <x v="1"/>
    <s v="1355"/>
    <x v="5"/>
    <s v="135517"/>
    <x v="8"/>
    <x v="11"/>
    <x v="11"/>
    <x v="11"/>
    <s v="13551701"/>
    <x v="11"/>
    <x v="11"/>
    <s v=""/>
  </r>
  <r>
    <s v="1"/>
    <x v="0"/>
    <s v="13"/>
    <x v="1"/>
    <s v="1355"/>
    <x v="5"/>
    <s v="135517"/>
    <x v="8"/>
    <x v="12"/>
    <x v="12"/>
    <x v="12"/>
    <s v="13551702"/>
    <x v="12"/>
    <x v="12"/>
    <s v=""/>
  </r>
  <r>
    <s v="1"/>
    <x v="0"/>
    <s v="13"/>
    <x v="1"/>
    <s v="1355"/>
    <x v="5"/>
    <s v="135518"/>
    <x v="9"/>
    <x v="13"/>
    <x v="13"/>
    <x v="13"/>
    <s v="13551801"/>
    <x v="13"/>
    <x v="13"/>
    <s v=""/>
  </r>
  <r>
    <s v="1"/>
    <x v="0"/>
    <s v="13"/>
    <x v="1"/>
    <s v="1355"/>
    <x v="5"/>
    <s v="135518"/>
    <x v="9"/>
    <x v="14"/>
    <x v="14"/>
    <x v="14"/>
    <s v="13551802"/>
    <x v="14"/>
    <x v="14"/>
    <s v=""/>
  </r>
  <r>
    <s v="1"/>
    <x v="0"/>
    <s v="13"/>
    <x v="1"/>
    <s v="1355"/>
    <x v="5"/>
    <s v="135518"/>
    <x v="9"/>
    <x v="15"/>
    <x v="15"/>
    <x v="15"/>
    <s v="13551805"/>
    <x v="15"/>
    <x v="15"/>
    <s v=""/>
  </r>
  <r>
    <s v="1"/>
    <x v="0"/>
    <s v="14"/>
    <x v="2"/>
    <s v="1405"/>
    <x v="6"/>
    <s v="1405"/>
    <x v="10"/>
    <x v="16"/>
    <x v="16"/>
    <x v="16"/>
    <s v="1405"/>
    <x v="16"/>
    <x v="16"/>
    <s v=""/>
  </r>
  <r>
    <s v="1"/>
    <x v="0"/>
    <s v="14"/>
    <x v="2"/>
    <s v="1435"/>
    <x v="7"/>
    <s v="1435"/>
    <x v="11"/>
    <x v="17"/>
    <x v="17"/>
    <x v="17"/>
    <s v="1435"/>
    <x v="17"/>
    <x v="17"/>
    <s v=""/>
  </r>
  <r>
    <s v="1"/>
    <x v="0"/>
    <s v="15"/>
    <x v="3"/>
    <s v="1512"/>
    <x v="8"/>
    <s v="151210"/>
    <x v="12"/>
    <x v="18"/>
    <x v="18"/>
    <x v="18"/>
    <s v="151210"/>
    <x v="18"/>
    <x v="18"/>
    <s v=""/>
  </r>
  <r>
    <s v="1"/>
    <x v="0"/>
    <s v="15"/>
    <x v="3"/>
    <s v="1520"/>
    <x v="9"/>
    <s v="152005"/>
    <x v="13"/>
    <x v="19"/>
    <x v="19"/>
    <x v="19"/>
    <s v="152005"/>
    <x v="19"/>
    <x v="19"/>
    <s v=""/>
  </r>
  <r>
    <s v="1"/>
    <x v="0"/>
    <s v="15"/>
    <x v="3"/>
    <s v="1524"/>
    <x v="10"/>
    <s v="152405"/>
    <x v="14"/>
    <x v="20"/>
    <x v="20"/>
    <x v="20"/>
    <s v="152405"/>
    <x v="20"/>
    <x v="20"/>
    <s v=""/>
  </r>
  <r>
    <s v="1"/>
    <x v="0"/>
    <s v="15"/>
    <x v="3"/>
    <s v="1524"/>
    <x v="10"/>
    <s v="152410"/>
    <x v="15"/>
    <x v="21"/>
    <x v="21"/>
    <x v="21"/>
    <s v="152410"/>
    <x v="21"/>
    <x v="21"/>
    <s v=""/>
  </r>
  <r>
    <s v="1"/>
    <x v="0"/>
    <s v="15"/>
    <x v="3"/>
    <s v="1524"/>
    <x v="10"/>
    <s v="152495"/>
    <x v="16"/>
    <x v="22"/>
    <x v="22"/>
    <x v="22"/>
    <s v="152495"/>
    <x v="22"/>
    <x v="22"/>
    <s v=""/>
  </r>
  <r>
    <s v="1"/>
    <x v="0"/>
    <s v="15"/>
    <x v="3"/>
    <s v="1592"/>
    <x v="11"/>
    <s v="159210"/>
    <x v="17"/>
    <x v="23"/>
    <x v="23"/>
    <x v="23"/>
    <s v="159210"/>
    <x v="19"/>
    <x v="23"/>
    <s v=""/>
  </r>
  <r>
    <s v="1"/>
    <x v="0"/>
    <s v="15"/>
    <x v="3"/>
    <s v="1592"/>
    <x v="11"/>
    <s v="159215"/>
    <x v="18"/>
    <x v="24"/>
    <x v="24"/>
    <x v="24"/>
    <s v="159215"/>
    <x v="18"/>
    <x v="24"/>
    <s v=""/>
  </r>
  <r>
    <s v="1"/>
    <x v="0"/>
    <s v="15"/>
    <x v="3"/>
    <s v="1592"/>
    <x v="11"/>
    <s v="159220"/>
    <x v="19"/>
    <x v="25"/>
    <x v="25"/>
    <x v="25"/>
    <s v="159220"/>
    <x v="23"/>
    <x v="25"/>
    <s v=""/>
  </r>
  <r>
    <s v="1"/>
    <x v="0"/>
    <s v="16"/>
    <x v="4"/>
    <s v="1635"/>
    <x v="12"/>
    <s v="163501"/>
    <x v="20"/>
    <x v="26"/>
    <x v="26"/>
    <x v="26"/>
    <s v="163501"/>
    <x v="24"/>
    <x v="26"/>
    <s v=""/>
  </r>
  <r>
    <s v="1"/>
    <x v="0"/>
    <s v="16"/>
    <x v="4"/>
    <s v="1635"/>
    <x v="12"/>
    <s v="163599"/>
    <x v="21"/>
    <x v="27"/>
    <x v="27"/>
    <x v="27"/>
    <s v="163599"/>
    <x v="25"/>
    <x v="27"/>
    <s v=""/>
  </r>
  <r>
    <s v="1"/>
    <x v="0"/>
    <s v="16"/>
    <x v="4"/>
    <s v="1698"/>
    <x v="13"/>
    <s v="169840"/>
    <x v="22"/>
    <x v="28"/>
    <x v="28"/>
    <x v="28"/>
    <s v="169840"/>
    <x v="26"/>
    <x v="28"/>
    <s v=""/>
  </r>
  <r>
    <s v="1"/>
    <x v="0"/>
    <s v="17"/>
    <x v="5"/>
    <s v="1705"/>
    <x v="14"/>
    <s v="170535"/>
    <x v="23"/>
    <x v="29"/>
    <x v="29"/>
    <x v="29"/>
    <s v="170535"/>
    <x v="27"/>
    <x v="29"/>
    <s v=""/>
  </r>
  <r>
    <s v="1"/>
    <x v="0"/>
    <s v="17"/>
    <x v="5"/>
    <s v="1710"/>
    <x v="15"/>
    <s v="171040"/>
    <x v="24"/>
    <x v="30"/>
    <x v="30"/>
    <x v="30"/>
    <s v="171040"/>
    <x v="26"/>
    <x v="30"/>
    <s v=""/>
  </r>
  <r>
    <s v="2"/>
    <x v="1"/>
    <s v="23"/>
    <x v="6"/>
    <s v="2365"/>
    <x v="16"/>
    <s v="236525"/>
    <x v="25"/>
    <x v="31"/>
    <x v="31"/>
    <x v="31"/>
    <s v="23652502"/>
    <x v="28"/>
    <x v="31"/>
    <n v="163572"/>
  </r>
  <r>
    <s v="2"/>
    <x v="1"/>
    <s v="23"/>
    <x v="6"/>
    <s v="2365"/>
    <x v="16"/>
    <s v="236525"/>
    <x v="25"/>
    <x v="32"/>
    <x v="32"/>
    <x v="32"/>
    <s v="23652503"/>
    <x v="29"/>
    <x v="32"/>
    <n v="592704"/>
  </r>
  <r>
    <s v="2"/>
    <x v="1"/>
    <s v="23"/>
    <x v="6"/>
    <s v="2365"/>
    <x v="16"/>
    <s v="236530"/>
    <x v="26"/>
    <x v="33"/>
    <x v="33"/>
    <x v="33"/>
    <s v="23653001"/>
    <x v="30"/>
    <x v="33"/>
    <n v="800"/>
  </r>
  <r>
    <s v="2"/>
    <x v="1"/>
    <s v="23"/>
    <x v="6"/>
    <s v="2365"/>
    <x v="16"/>
    <s v="236540"/>
    <x v="27"/>
    <x v="34"/>
    <x v="34"/>
    <x v="34"/>
    <s v="23654001"/>
    <x v="31"/>
    <x v="34"/>
    <n v="1750351"/>
  </r>
  <r>
    <s v="2"/>
    <x v="1"/>
    <s v="23"/>
    <x v="6"/>
    <s v="2365"/>
    <x v="16"/>
    <s v="236540"/>
    <x v="27"/>
    <x v="35"/>
    <x v="35"/>
    <x v="35"/>
    <s v="23654005"/>
    <x v="32"/>
    <x v="35"/>
    <n v="165235"/>
  </r>
  <r>
    <s v="2"/>
    <x v="1"/>
    <s v="23"/>
    <x v="6"/>
    <s v="2365"/>
    <x v="16"/>
    <s v="236575"/>
    <x v="28"/>
    <x v="36"/>
    <x v="36"/>
    <x v="36"/>
    <s v="23657501"/>
    <x v="10"/>
    <x v="36"/>
    <n v="-921000"/>
  </r>
  <r>
    <s v="2"/>
    <x v="1"/>
    <s v="23"/>
    <x v="6"/>
    <s v="2365"/>
    <x v="16"/>
    <s v="236575"/>
    <x v="28"/>
    <x v="37"/>
    <x v="37"/>
    <x v="37"/>
    <s v="23657502"/>
    <x v="33"/>
    <x v="37"/>
    <n v="229000"/>
  </r>
  <r>
    <s v="2"/>
    <x v="1"/>
    <s v="23"/>
    <x v="6"/>
    <s v="2365"/>
    <x v="16"/>
    <s v="236580"/>
    <x v="29"/>
    <x v="38"/>
    <x v="38"/>
    <x v="38"/>
    <s v="23658001"/>
    <x v="34"/>
    <x v="38"/>
    <n v="-2238000"/>
  </r>
  <r>
    <s v="2"/>
    <x v="1"/>
    <s v="23"/>
    <x v="6"/>
    <s v="2368"/>
    <x v="17"/>
    <s v="236801"/>
    <x v="30"/>
    <x v="39"/>
    <x v="39"/>
    <x v="39"/>
    <s v="2368010101"/>
    <x v="35"/>
    <x v="39"/>
    <n v="898330"/>
  </r>
  <r>
    <s v="2"/>
    <x v="1"/>
    <s v="23"/>
    <x v="6"/>
    <s v="2368"/>
    <x v="17"/>
    <s v="236801"/>
    <x v="30"/>
    <x v="40"/>
    <x v="40"/>
    <x v="40"/>
    <s v="23680102"/>
    <x v="36"/>
    <x v="40"/>
    <n v="28139"/>
  </r>
  <r>
    <s v="2"/>
    <x v="1"/>
    <s v="23"/>
    <x v="6"/>
    <s v="2368"/>
    <x v="17"/>
    <s v="236801"/>
    <x v="30"/>
    <x v="41"/>
    <x v="41"/>
    <x v="41"/>
    <s v="23680103"/>
    <x v="37"/>
    <x v="41"/>
    <n v="5796"/>
  </r>
  <r>
    <s v="2"/>
    <x v="1"/>
    <s v="23"/>
    <x v="6"/>
    <s v="2368"/>
    <x v="17"/>
    <s v="236880"/>
    <x v="31"/>
    <x v="42"/>
    <x v="42"/>
    <x v="42"/>
    <s v="23688001"/>
    <x v="38"/>
    <x v="42"/>
    <n v="-352000"/>
  </r>
  <r>
    <s v="2"/>
    <x v="1"/>
    <s v="23"/>
    <x v="6"/>
    <s v="2370"/>
    <x v="18"/>
    <s v="237005"/>
    <x v="32"/>
    <x v="43"/>
    <x v="43"/>
    <x v="43"/>
    <s v="23700504"/>
    <x v="39"/>
    <x v="43"/>
    <n v="16400"/>
  </r>
  <r>
    <s v="2"/>
    <x v="1"/>
    <s v="23"/>
    <x v="6"/>
    <s v="2370"/>
    <x v="18"/>
    <s v="237005"/>
    <x v="32"/>
    <x v="44"/>
    <x v="44"/>
    <x v="44"/>
    <s v="23700505"/>
    <x v="40"/>
    <x v="44"/>
    <n v="2000"/>
  </r>
  <r>
    <s v="2"/>
    <x v="1"/>
    <s v="23"/>
    <x v="6"/>
    <s v="2370"/>
    <x v="18"/>
    <s v="237005"/>
    <x v="32"/>
    <x v="45"/>
    <x v="45"/>
    <x v="45"/>
    <s v="23700507"/>
    <x v="41"/>
    <x v="45"/>
    <n v="-36000"/>
  </r>
  <r>
    <s v="2"/>
    <x v="1"/>
    <s v="23"/>
    <x v="6"/>
    <s v="2370"/>
    <x v="18"/>
    <s v="237006"/>
    <x v="33"/>
    <x v="46"/>
    <x v="46"/>
    <x v="46"/>
    <s v="23700601"/>
    <x v="42"/>
    <x v="46"/>
    <n v="-4700"/>
  </r>
  <r>
    <s v="2"/>
    <x v="1"/>
    <s v="23"/>
    <x v="6"/>
    <s v="2370"/>
    <x v="18"/>
    <s v="237010"/>
    <x v="34"/>
    <x v="47"/>
    <x v="47"/>
    <x v="47"/>
    <s v="23701001"/>
    <x v="43"/>
    <x v="47"/>
    <n v="56420"/>
  </r>
  <r>
    <s v="2"/>
    <x v="1"/>
    <s v="23"/>
    <x v="6"/>
    <s v="2380"/>
    <x v="19"/>
    <s v="238030"/>
    <x v="35"/>
    <x v="48"/>
    <x v="48"/>
    <x v="48"/>
    <s v="23803001"/>
    <x v="44"/>
    <x v="48"/>
    <n v="-144000"/>
  </r>
  <r>
    <s v="2"/>
    <x v="1"/>
    <s v="23"/>
    <x v="6"/>
    <s v="2380"/>
    <x v="19"/>
    <s v="238030"/>
    <x v="35"/>
    <x v="49"/>
    <x v="49"/>
    <x v="49"/>
    <s v="23803002"/>
    <x v="45"/>
    <x v="49"/>
    <n v="9600"/>
  </r>
  <r>
    <s v="2"/>
    <x v="1"/>
    <s v="23"/>
    <x v="6"/>
    <s v="2380"/>
    <x v="19"/>
    <s v="238030"/>
    <x v="35"/>
    <x v="50"/>
    <x v="50"/>
    <x v="50"/>
    <s v="23803004"/>
    <x v="46"/>
    <x v="50"/>
    <n v="64000"/>
  </r>
  <r>
    <s v="2"/>
    <x v="1"/>
    <s v="24"/>
    <x v="7"/>
    <s v="2404"/>
    <x v="20"/>
    <s v="240405"/>
    <x v="36"/>
    <x v="51"/>
    <x v="51"/>
    <x v="51"/>
    <s v="240405"/>
    <x v="47"/>
    <x v="51"/>
    <n v="6399000"/>
  </r>
  <r>
    <s v="2"/>
    <x v="1"/>
    <s v="24"/>
    <x v="7"/>
    <s v="2408"/>
    <x v="21"/>
    <s v="240801"/>
    <x v="37"/>
    <x v="52"/>
    <x v="52"/>
    <x v="52"/>
    <s v="24080101"/>
    <x v="48"/>
    <x v="52"/>
    <n v="15062566.42"/>
  </r>
  <r>
    <s v="2"/>
    <x v="1"/>
    <s v="24"/>
    <x v="7"/>
    <s v="2408"/>
    <x v="21"/>
    <s v="240802"/>
    <x v="38"/>
    <x v="53"/>
    <x v="53"/>
    <x v="53"/>
    <s v="24080201"/>
    <x v="49"/>
    <x v="53"/>
    <n v="-21092395"/>
  </r>
  <r>
    <s v="2"/>
    <x v="1"/>
    <s v="24"/>
    <x v="7"/>
    <s v="2408"/>
    <x v="21"/>
    <s v="240802"/>
    <x v="38"/>
    <x v="54"/>
    <x v="54"/>
    <x v="54"/>
    <s v="24080203"/>
    <x v="50"/>
    <x v="54"/>
    <n v="-1102015"/>
  </r>
  <r>
    <s v="2"/>
    <x v="1"/>
    <s v="24"/>
    <x v="7"/>
    <s v="2408"/>
    <x v="21"/>
    <s v="240802"/>
    <x v="38"/>
    <x v="55"/>
    <x v="55"/>
    <x v="55"/>
    <s v="24080205"/>
    <x v="51"/>
    <x v="55"/>
    <n v="-227810"/>
  </r>
  <r>
    <s v="2"/>
    <x v="1"/>
    <s v="24"/>
    <x v="7"/>
    <s v="2408"/>
    <x v="21"/>
    <s v="240802"/>
    <x v="38"/>
    <x v="56"/>
    <x v="56"/>
    <x v="56"/>
    <s v="24080206"/>
    <x v="52"/>
    <x v="56"/>
    <n v="-3800"/>
  </r>
  <r>
    <s v="2"/>
    <x v="1"/>
    <s v="24"/>
    <x v="7"/>
    <s v="2408"/>
    <x v="21"/>
    <s v="240802"/>
    <x v="38"/>
    <x v="57"/>
    <x v="57"/>
    <x v="57"/>
    <s v="24080210"/>
    <x v="53"/>
    <x v="57"/>
    <n v="-59463"/>
  </r>
  <r>
    <s v="2"/>
    <x v="1"/>
    <s v="24"/>
    <x v="7"/>
    <s v="2408"/>
    <x v="21"/>
    <s v="240802"/>
    <x v="38"/>
    <x v="58"/>
    <x v="58"/>
    <x v="58"/>
    <s v="24080221"/>
    <x v="54"/>
    <x v="58"/>
    <n v="-6776"/>
  </r>
  <r>
    <s v="2"/>
    <x v="1"/>
    <s v="24"/>
    <x v="7"/>
    <s v="2408"/>
    <x v="21"/>
    <s v="240803"/>
    <x v="39"/>
    <x v="59"/>
    <x v="59"/>
    <x v="59"/>
    <s v="240803"/>
    <x v="55"/>
    <x v="59"/>
    <n v="2349000"/>
  </r>
  <r>
    <s v="2"/>
    <x v="1"/>
    <s v="24"/>
    <x v="7"/>
    <s v="2408"/>
    <x v="21"/>
    <s v="240880"/>
    <x v="40"/>
    <x v="60"/>
    <x v="60"/>
    <x v="60"/>
    <s v="24088001"/>
    <x v="56"/>
    <x v="60"/>
    <n v="-3664000"/>
  </r>
  <r>
    <s v="2"/>
    <x v="1"/>
    <s v="24"/>
    <x v="7"/>
    <s v="2412"/>
    <x v="22"/>
    <s v="241205"/>
    <x v="41"/>
    <x v="61"/>
    <x v="61"/>
    <x v="61"/>
    <s v="241205"/>
    <x v="47"/>
    <x v="61"/>
    <n v="314000"/>
  </r>
  <r>
    <s v="2"/>
    <x v="1"/>
    <s v="25"/>
    <x v="8"/>
    <s v="2510"/>
    <x v="23"/>
    <s v="251010"/>
    <x v="42"/>
    <x v="62"/>
    <x v="62"/>
    <x v="62"/>
    <s v="251010"/>
    <x v="57"/>
    <x v="62"/>
    <n v="3105611"/>
  </r>
  <r>
    <s v="2"/>
    <x v="1"/>
    <s v="25"/>
    <x v="8"/>
    <s v="2515"/>
    <x v="24"/>
    <s v="251501"/>
    <x v="43"/>
    <x v="63"/>
    <x v="63"/>
    <x v="63"/>
    <s v="251501"/>
    <x v="58"/>
    <x v="63"/>
    <n v="374906"/>
  </r>
  <r>
    <s v="2"/>
    <x v="1"/>
    <s v="25"/>
    <x v="8"/>
    <s v="2520"/>
    <x v="25"/>
    <s v="252001"/>
    <x v="44"/>
    <x v="64"/>
    <x v="64"/>
    <x v="64"/>
    <s v="252001"/>
    <x v="59"/>
    <x v="64"/>
    <n v="-177280"/>
  </r>
  <r>
    <s v="2"/>
    <x v="1"/>
    <s v="25"/>
    <x v="8"/>
    <s v="2525"/>
    <x v="26"/>
    <s v="252501"/>
    <x v="45"/>
    <x v="65"/>
    <x v="65"/>
    <x v="65"/>
    <s v="252501"/>
    <x v="60"/>
    <x v="65"/>
    <n v="241125"/>
  </r>
  <r>
    <s v="2"/>
    <x v="1"/>
    <s v="25"/>
    <x v="8"/>
    <s v="2530"/>
    <x v="27"/>
    <s v="253005"/>
    <x v="46"/>
    <x v="66"/>
    <x v="66"/>
    <x v="66"/>
    <s v="253005"/>
    <x v="61"/>
    <x v="66"/>
    <n v="3711223"/>
  </r>
  <r>
    <s v="2"/>
    <x v="1"/>
    <s v="26"/>
    <x v="9"/>
    <s v="2610"/>
    <x v="28"/>
    <s v="261005"/>
    <x v="47"/>
    <x v="67"/>
    <x v="67"/>
    <x v="67"/>
    <s v="261005"/>
    <x v="62"/>
    <x v="67"/>
    <n v="320314"/>
  </r>
  <r>
    <s v="2"/>
    <x v="1"/>
    <s v="26"/>
    <x v="9"/>
    <s v="2610"/>
    <x v="28"/>
    <s v="261010"/>
    <x v="48"/>
    <x v="68"/>
    <x v="68"/>
    <x v="68"/>
    <s v="261010"/>
    <x v="58"/>
    <x v="68"/>
    <n v="38454"/>
  </r>
  <r>
    <s v="2"/>
    <x v="1"/>
    <s v="26"/>
    <x v="9"/>
    <s v="2610"/>
    <x v="28"/>
    <s v="261015"/>
    <x v="49"/>
    <x v="69"/>
    <x v="69"/>
    <x v="69"/>
    <s v="261015"/>
    <x v="60"/>
    <x v="69"/>
    <n v="1333307"/>
  </r>
  <r>
    <s v="2"/>
    <x v="1"/>
    <s v="26"/>
    <x v="9"/>
    <s v="2610"/>
    <x v="28"/>
    <s v="261020"/>
    <x v="50"/>
    <x v="70"/>
    <x v="70"/>
    <x v="67"/>
    <s v="261020"/>
    <x v="59"/>
    <x v="67"/>
    <n v="320314"/>
  </r>
  <r>
    <s v="2"/>
    <x v="1"/>
    <s v="28"/>
    <x v="10"/>
    <s v="2810"/>
    <x v="29"/>
    <s v="281005"/>
    <x v="51"/>
    <x v="71"/>
    <x v="71"/>
    <x v="70"/>
    <s v="281005"/>
    <x v="63"/>
    <x v="70"/>
    <n v="33239792"/>
  </r>
  <r>
    <s v="3"/>
    <x v="2"/>
    <s v="31"/>
    <x v="11"/>
    <s v="3105"/>
    <x v="30"/>
    <s v="310505"/>
    <x v="52"/>
    <x v="72"/>
    <x v="72"/>
    <x v="71"/>
    <s v="310505"/>
    <x v="64"/>
    <x v="71"/>
    <n v="100000000"/>
  </r>
  <r>
    <s v="3"/>
    <x v="2"/>
    <s v="31"/>
    <x v="11"/>
    <s v="3105"/>
    <x v="30"/>
    <s v="310510"/>
    <x v="53"/>
    <x v="73"/>
    <x v="73"/>
    <x v="72"/>
    <s v="310510"/>
    <x v="65"/>
    <x v="72"/>
    <n v="-90000000"/>
  </r>
  <r>
    <s v="3"/>
    <x v="2"/>
    <s v="36"/>
    <x v="12"/>
    <s v="3605"/>
    <x v="31"/>
    <s v="360505"/>
    <x v="54"/>
    <x v="74"/>
    <x v="74"/>
    <x v="73"/>
    <s v="360505"/>
    <x v="66"/>
    <x v="73"/>
    <n v="53925577.040689997"/>
  </r>
  <r>
    <s v="3"/>
    <x v="2"/>
    <s v="37"/>
    <x v="13"/>
    <s v="3705"/>
    <x v="32"/>
    <s v="370505"/>
    <x v="55"/>
    <x v="75"/>
    <x v="75"/>
    <x v="74"/>
    <s v="370505"/>
    <x v="67"/>
    <x v="74"/>
    <n v="50583821.108965002"/>
  </r>
  <r>
    <s v="3"/>
    <x v="2"/>
    <s v="37"/>
    <x v="13"/>
    <s v="3710"/>
    <x v="33"/>
    <s v="371005"/>
    <x v="56"/>
    <x v="76"/>
    <x v="76"/>
    <x v="75"/>
    <s v="371005"/>
    <x v="68"/>
    <x v="75"/>
    <n v="-1810622.8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" cacheId="0" dataOnRows="1" applyNumberFormats="0" applyBorderFormats="0" applyFontFormats="0" applyPatternFormats="0" applyAlignmentFormats="0" applyWidthHeightFormats="1" dataCaption="Datos" updatedVersion="6" showItems="0" showMultipleLabel="0" showMemberPropertyTips="0" useAutoFormatting="1" itemPrintTitles="1" showDropZones="0" indent="0" showHeaders="0" outline="1" outlineData="1" gridDropZones="1">
  <location ref="A6:B32" firstHeaderRow="2" firstDataRow="2" firstDataCol="1"/>
  <pivotFields count="15">
    <pivotField subtotalTop="0" showAll="0" includeNewItemsInFilter="1"/>
    <pivotField axis="axisRow" subtotalTop="0" showAll="0" includeNewItemsInFilter="1">
      <items count="4">
        <item x="0"/>
        <item x="1"/>
        <item x="2"/>
        <item t="default"/>
      </items>
    </pivotField>
    <pivotField subtotalTop="0" showAll="0" includeNewItemsInFilter="1"/>
    <pivotField axis="axisRow" subtotalTop="0" showAll="0" includeNewItemsInFilter="1">
      <items count="15">
        <item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subtotalTop="0" showAll="0" includeNewItemsInFilter="1"/>
    <pivotField axis="axisRow" subtotalTop="0" showAll="0" includeNewItemsInFilter="1">
      <items count="35">
        <item sd="0" x="0"/>
        <item sd="0" x="1"/>
        <item sd="0"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t="default"/>
      </items>
    </pivotField>
    <pivotField subtotalTop="0" showAll="0" includeNewItemsInFilter="1"/>
    <pivotField axis="axisRow" subtotalTop="0" showAll="0" includeNewItemsInFilter="1">
      <items count="58">
        <item x="0"/>
        <item x="1"/>
        <item sd="0"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t="default"/>
      </items>
    </pivotField>
    <pivotField axis="axisRow" subtotalTop="0" showAll="0" includeNewItemsInFilter="1">
      <items count="7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t="default"/>
      </items>
    </pivotField>
    <pivotField axis="axisRow" subtotalTop="0" showAll="0" includeNewItemsInFilter="1">
      <items count="7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t="default"/>
      </items>
    </pivotField>
    <pivotField dataField="1" numFmtId="4" subtotalTop="0" showAll="0" includeNewItemsInFilter="1">
      <items count="77">
        <item x="72"/>
        <item x="53"/>
        <item x="23"/>
        <item x="24"/>
        <item x="60"/>
        <item x="11"/>
        <item x="38"/>
        <item x="75"/>
        <item x="54"/>
        <item x="28"/>
        <item x="36"/>
        <item x="13"/>
        <item x="42"/>
        <item x="55"/>
        <item x="64"/>
        <item x="48"/>
        <item x="25"/>
        <item x="57"/>
        <item x="45"/>
        <item x="58"/>
        <item x="46"/>
        <item x="56"/>
        <item x="33"/>
        <item x="44"/>
        <item x="41"/>
        <item x="49"/>
        <item x="43"/>
        <item x="40"/>
        <item x="17"/>
        <item x="68"/>
        <item x="30"/>
        <item x="47"/>
        <item x="50"/>
        <item x="10"/>
        <item x="29"/>
        <item x="31"/>
        <item x="35"/>
        <item x="37"/>
        <item x="65"/>
        <item x="22"/>
        <item x="61"/>
        <item x="67"/>
        <item x="63"/>
        <item x="15"/>
        <item x="32"/>
        <item x="3"/>
        <item x="39"/>
        <item x="1"/>
        <item x="20"/>
        <item x="14"/>
        <item x="26"/>
        <item x="69"/>
        <item x="34"/>
        <item x="2"/>
        <item x="59"/>
        <item x="16"/>
        <item x="62"/>
        <item x="18"/>
        <item x="66"/>
        <item x="12"/>
        <item x="27"/>
        <item x="7"/>
        <item x="6"/>
        <item x="5"/>
        <item x="51"/>
        <item x="21"/>
        <item x="8"/>
        <item x="0"/>
        <item x="9"/>
        <item x="4"/>
        <item x="52"/>
        <item x="70"/>
        <item x="74"/>
        <item x="73"/>
        <item x="19"/>
        <item x="71"/>
        <item t="default"/>
      </items>
    </pivotField>
    <pivotField subtotalTop="0" showAll="0" includeNewItemsInFilter="1"/>
    <pivotField axis="axisRow" subtotalTop="0" showAll="0" includeNewItemsInFilter="1">
      <items count="70">
        <item x="6"/>
        <item x="7"/>
        <item x="25"/>
        <item x="42"/>
        <item x="30"/>
        <item x="33"/>
        <item x="10"/>
        <item x="3"/>
        <item x="2"/>
        <item x="4"/>
        <item x="43"/>
        <item x="0"/>
        <item x="1"/>
        <item x="64"/>
        <item x="65"/>
        <item x="62"/>
        <item x="44"/>
        <item x="45"/>
        <item x="5"/>
        <item x="23"/>
        <item x="18"/>
        <item x="21"/>
        <item x="39"/>
        <item x="58"/>
        <item x="48"/>
        <item x="52"/>
        <item x="49"/>
        <item x="54"/>
        <item x="53"/>
        <item x="51"/>
        <item x="56"/>
        <item x="55"/>
        <item x="50"/>
        <item x="57"/>
        <item x="24"/>
        <item x="26"/>
        <item x="27"/>
        <item x="19"/>
        <item x="16"/>
        <item x="17"/>
        <item x="20"/>
        <item x="40"/>
        <item x="22"/>
        <item x="63"/>
        <item x="68"/>
        <item x="59"/>
        <item x="61"/>
        <item x="46"/>
        <item x="34"/>
        <item x="38"/>
        <item x="37"/>
        <item x="13"/>
        <item x="36"/>
        <item x="15"/>
        <item x="11"/>
        <item x="12"/>
        <item x="8"/>
        <item x="35"/>
        <item x="14"/>
        <item x="31"/>
        <item x="32"/>
        <item x="9"/>
        <item x="41"/>
        <item x="28"/>
        <item x="29"/>
        <item x="66"/>
        <item x="67"/>
        <item x="60"/>
        <item x="47"/>
        <item t="default"/>
      </items>
    </pivotField>
    <pivotField numFmtId="4" subtotalTop="0" showAll="0" includeNewItemsInFilter="1">
      <items count="77">
        <item x="72"/>
        <item x="53"/>
        <item x="23"/>
        <item x="24"/>
        <item x="60"/>
        <item x="11"/>
        <item x="38"/>
        <item x="75"/>
        <item x="54"/>
        <item x="28"/>
        <item x="36"/>
        <item x="13"/>
        <item x="42"/>
        <item x="55"/>
        <item x="64"/>
        <item x="48"/>
        <item x="25"/>
        <item x="57"/>
        <item x="45"/>
        <item x="58"/>
        <item x="46"/>
        <item x="56"/>
        <item x="33"/>
        <item x="44"/>
        <item x="41"/>
        <item x="49"/>
        <item x="43"/>
        <item x="40"/>
        <item x="17"/>
        <item x="68"/>
        <item x="30"/>
        <item x="47"/>
        <item x="50"/>
        <item x="10"/>
        <item x="29"/>
        <item x="31"/>
        <item x="35"/>
        <item x="37"/>
        <item x="65"/>
        <item x="22"/>
        <item x="61"/>
        <item x="67"/>
        <item x="63"/>
        <item x="15"/>
        <item x="32"/>
        <item x="3"/>
        <item x="39"/>
        <item x="1"/>
        <item x="20"/>
        <item x="14"/>
        <item x="26"/>
        <item x="69"/>
        <item x="34"/>
        <item x="2"/>
        <item x="59"/>
        <item x="16"/>
        <item x="62"/>
        <item x="18"/>
        <item x="66"/>
        <item x="12"/>
        <item x="27"/>
        <item x="7"/>
        <item x="6"/>
        <item x="5"/>
        <item x="51"/>
        <item x="21"/>
        <item x="8"/>
        <item x="0"/>
        <item x="9"/>
        <item x="4"/>
        <item x="52"/>
        <item x="70"/>
        <item x="74"/>
        <item x="73"/>
        <item x="19"/>
        <item x="71"/>
        <item t="default"/>
      </items>
    </pivotField>
    <pivotField subtotalTop="0" showAll="0" includeNewItemsInFilter="1"/>
  </pivotFields>
  <rowFields count="7">
    <field x="1"/>
    <field x="3"/>
    <field x="5"/>
    <field x="7"/>
    <field x="8"/>
    <field x="9"/>
    <field x="12"/>
  </rowFields>
  <rowItems count="25">
    <i>
      <x/>
    </i>
    <i r="1">
      <x/>
    </i>
    <i r="2">
      <x/>
    </i>
    <i r="2">
      <x v="1"/>
    </i>
    <i r="2">
      <x v="2"/>
    </i>
    <i t="default" r="1">
      <x/>
    </i>
    <i r="1">
      <x v="1"/>
    </i>
    <i r="1">
      <x v="2"/>
    </i>
    <i r="1">
      <x v="3"/>
    </i>
    <i r="1">
      <x v="4"/>
    </i>
    <i r="1">
      <x v="5"/>
    </i>
    <i t="default">
      <x/>
    </i>
    <i>
      <x v="1"/>
    </i>
    <i r="1">
      <x v="6"/>
    </i>
    <i r="1">
      <x v="7"/>
    </i>
    <i r="1">
      <x v="8"/>
    </i>
    <i r="1">
      <x v="9"/>
    </i>
    <i r="1">
      <x v="10"/>
    </i>
    <i t="default">
      <x v="1"/>
    </i>
    <i>
      <x v="2"/>
    </i>
    <i r="1">
      <x v="11"/>
    </i>
    <i r="1">
      <x v="12"/>
    </i>
    <i r="1">
      <x v="13"/>
    </i>
    <i t="default">
      <x v="2"/>
    </i>
    <i t="grand">
      <x/>
    </i>
  </rowItems>
  <colItems count="1">
    <i/>
  </colItems>
  <dataFields count="1">
    <dataField name="Total" fld="10" baseField="0" baseItem="0" numFmtId="165"/>
  </dataFields>
  <pivotTableStyleInfo name="PivotStyleLight1" showRowHeaders="1" showColHeaders="1" showRowStripes="0" showColStripes="1" showLastColumn="1"/>
</pivotTableDefinition>
</file>

<file path=xl/tables/table1.xml><?xml version="1.0" encoding="utf-8"?>
<table xmlns="http://schemas.openxmlformats.org/spreadsheetml/2006/main" id="2" name="Tabla2" displayName="Tabla2" ref="A1:K9" totalsRowShown="0" headerRowDxfId="26">
  <autoFilter ref="A1:K9"/>
  <tableColumns count="11">
    <tableColumn id="1" name="Costos"/>
    <tableColumn id="2" name="COSTOS FIJOS" dataCellStyle="Moneda"/>
    <tableColumn id="3" name="MATERIALES DIRECTOS" dataCellStyle="Moneda"/>
    <tableColumn id="4" name="MANO DE OBRA" dataCellStyle="Moneda"/>
    <tableColumn id="5" name="MATERIALES INDIRECTOS" dataCellStyle="Moneda"/>
    <tableColumn id="6" name="PRECIO DE VENTA UNIDAD" dataCellStyle="Moneda"/>
    <tableColumn id="7" name="Q OPTIMO" dataDxfId="25"/>
    <tableColumn id="8" name="UNIDADES" dataDxfId="24"/>
    <tableColumn id="9" name="TOTAL COSTOS" dataCellStyle="Moneda">
      <calculatedColumnFormula>Tabla2[[#This Row],[COSTOS FIJOS]]+Tabla2[[#This Row],[MATERIALES DIRECTOS]]+Tabla2[[#This Row],[MANO DE OBRA]]+Tabla2[[#This Row],[MATERIALES INDIRECTOS]]</calculatedColumnFormula>
    </tableColumn>
    <tableColumn id="10" name="TOTAL PRODUCCION" dataCellStyle="Moneda"/>
    <tableColumn id="11" name="TOTAL COSTOS2" dataDxfId="2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COSTOS" displayName="COSTOS" ref="A1:L9" totalsRowCount="1" headerRowDxfId="22">
  <autoFilter ref="A1:L8"/>
  <tableColumns count="12">
    <tableColumn id="1" name="Costos" dataCellStyle="Normal 3"/>
    <tableColumn id="5" name="COSTOS FIJOS" totalsRowLabel="$ 288747" dataDxfId="21" totalsRowDxfId="10" dataCellStyle="Normal 3"/>
    <tableColumn id="2" name="MATERIALES DIRECTOS" totalsRowLabel="$ 110145" dataDxfId="20" totalsRowDxfId="9" dataCellStyle="Normal 3"/>
    <tableColumn id="3" name="MANO DE OBRA" totalsRowLabel="$ 46675" dataDxfId="19" totalsRowDxfId="8" dataCellStyle="Normal 3"/>
    <tableColumn id="4" name="MATERIALES INDIRECTOS" totalsRowLabel="$ 79027" dataDxfId="18" totalsRowDxfId="7" dataCellStyle="Normal 3"/>
    <tableColumn id="6" name="PRECIO DE VENTA UNIDAD" totalsRowLabel="$ 764535" dataDxfId="17" totalsRowDxfId="6" dataCellStyle="Normal 3"/>
    <tableColumn id="7" name="Q OPTIMO" dataDxfId="16" totalsRowDxfId="5" dataCellStyle="Normal 3"/>
    <tableColumn id="10" name="UNIDADES" totalsRowLabel="98" dataDxfId="15" totalsRowDxfId="4" dataCellStyle="Normal 3"/>
    <tableColumn id="12" name="TOTAL COSTOS" totalsRowLabel="$ 1524415" dataDxfId="14" totalsRowDxfId="3" dataCellStyle="Normal 3"/>
    <tableColumn id="8" name="TOTAL VENTAS" totalsRowLabel="$ 10322591" dataDxfId="13" totalsRowDxfId="2" dataCellStyle="Normal 3"/>
    <tableColumn id="9" name="MATERIAL NECESARIO ALGODÓN METROS UND" totalsRowLabel="3.82" dataDxfId="12" totalsRowDxfId="1" dataCellStyle="Normal 3"/>
    <tableColumn id="11" name="MATERIAL NECESARIO ALGODÓN" totalsRowLabel="55.29" dataDxfId="11" totalsRowDxfId="0" dataCellStyle="Normal 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72"/>
  <sheetViews>
    <sheetView zoomScale="70" zoomScaleNormal="70" workbookViewId="0">
      <selection activeCell="F13" sqref="F13"/>
    </sheetView>
  </sheetViews>
  <sheetFormatPr baseColWidth="10" defaultRowHeight="13.2" x14ac:dyDescent="0.25"/>
  <cols>
    <col min="1" max="1" width="9.33203125" style="3" customWidth="1"/>
    <col min="2" max="2" width="33.5546875" bestFit="1" customWidth="1"/>
    <col min="3" max="3" width="17.5546875" bestFit="1" customWidth="1"/>
    <col min="4" max="4" width="13.77734375" customWidth="1"/>
    <col min="5" max="5" width="14.109375" customWidth="1"/>
    <col min="6" max="6" width="12.21875" customWidth="1"/>
    <col min="7" max="7" width="16.33203125" bestFit="1" customWidth="1"/>
    <col min="8" max="8" width="6" bestFit="1" customWidth="1"/>
    <col min="9" max="9" width="5.33203125" customWidth="1"/>
    <col min="10" max="10" width="33.5546875" bestFit="1" customWidth="1"/>
    <col min="11" max="11" width="18" style="75" bestFit="1" customWidth="1"/>
    <col min="12" max="12" width="18.44140625" style="75" bestFit="1" customWidth="1"/>
    <col min="13" max="13" width="16.33203125" style="75" bestFit="1" customWidth="1"/>
    <col min="14" max="14" width="9.5546875" style="75" customWidth="1"/>
    <col min="15" max="15" width="10.88671875" style="75" customWidth="1"/>
    <col min="16" max="16" width="12.21875" style="75" bestFit="1" customWidth="1"/>
    <col min="17" max="17" width="9.77734375" style="75" bestFit="1" customWidth="1"/>
    <col min="18" max="18" width="10.88671875" style="75" bestFit="1" customWidth="1"/>
    <col min="19" max="19" width="12.6640625" style="75" bestFit="1" customWidth="1"/>
    <col min="20" max="20" width="11.109375" style="75" bestFit="1" customWidth="1"/>
    <col min="21" max="21" width="9.77734375" style="75" bestFit="1" customWidth="1"/>
    <col min="22" max="22" width="10.88671875" style="75" bestFit="1" customWidth="1"/>
    <col min="23" max="23" width="12.21875" style="75" bestFit="1" customWidth="1"/>
    <col min="24" max="24" width="9.77734375" style="75" bestFit="1" customWidth="1"/>
    <col min="25" max="25" width="10.88671875" style="75" bestFit="1" customWidth="1"/>
    <col min="26" max="26" width="12.6640625" style="75" bestFit="1" customWidth="1"/>
    <col min="27" max="27" width="11.109375" style="75" bestFit="1" customWidth="1"/>
    <col min="28" max="28" width="9.77734375" style="75" bestFit="1" customWidth="1"/>
    <col min="29" max="29" width="10.88671875" style="75" bestFit="1" customWidth="1"/>
    <col min="30" max="30" width="12.21875" style="75" bestFit="1" customWidth="1"/>
    <col min="31" max="31" width="9.77734375" style="75" bestFit="1" customWidth="1"/>
  </cols>
  <sheetData>
    <row r="1" spans="1:15" ht="13.8" thickBot="1" x14ac:dyDescent="0.3">
      <c r="B1" s="268" t="s">
        <v>123</v>
      </c>
      <c r="C1" s="286"/>
      <c r="D1" s="228"/>
      <c r="E1" s="228"/>
      <c r="F1" s="228"/>
      <c r="G1" s="259" t="s">
        <v>517</v>
      </c>
      <c r="H1" s="260"/>
      <c r="I1" s="260"/>
      <c r="J1" s="260"/>
      <c r="K1" s="260"/>
      <c r="L1" s="260"/>
      <c r="M1" s="260"/>
      <c r="N1" s="260"/>
      <c r="O1" s="261"/>
    </row>
    <row r="2" spans="1:15" ht="15" customHeight="1" thickBot="1" x14ac:dyDescent="0.3">
      <c r="B2" s="290" t="s">
        <v>87</v>
      </c>
      <c r="C2" s="291"/>
      <c r="D2" s="180"/>
      <c r="E2" s="180"/>
      <c r="F2" s="85"/>
      <c r="G2" s="262"/>
      <c r="H2" s="263"/>
      <c r="I2" s="263"/>
      <c r="J2" s="263"/>
      <c r="K2" s="263"/>
      <c r="L2" s="263"/>
      <c r="M2" s="263"/>
      <c r="N2" s="263"/>
      <c r="O2" s="264"/>
    </row>
    <row r="3" spans="1:15" ht="13.8" thickBot="1" x14ac:dyDescent="0.3">
      <c r="B3" s="292" t="s">
        <v>515</v>
      </c>
      <c r="C3" s="293"/>
      <c r="D3" s="179"/>
      <c r="E3" s="179"/>
      <c r="F3" s="207"/>
      <c r="G3" s="265"/>
      <c r="H3" s="266"/>
      <c r="I3" s="266"/>
      <c r="J3" s="266"/>
      <c r="K3" s="266"/>
      <c r="L3" s="266"/>
      <c r="M3" s="266"/>
      <c r="N3" s="266"/>
      <c r="O3" s="267"/>
    </row>
    <row r="4" spans="1:15" ht="13.8" thickBot="1" x14ac:dyDescent="0.3">
      <c r="B4" s="229"/>
      <c r="C4" s="230">
        <v>2021</v>
      </c>
      <c r="D4" s="178"/>
      <c r="F4" s="178"/>
      <c r="G4" s="228"/>
      <c r="H4" s="54"/>
      <c r="I4" s="54"/>
    </row>
    <row r="5" spans="1:15" x14ac:dyDescent="0.25">
      <c r="A5" s="4"/>
      <c r="B5" s="218" t="s">
        <v>81</v>
      </c>
      <c r="C5" s="223">
        <v>25091802.603359997</v>
      </c>
      <c r="D5" s="227"/>
      <c r="F5" s="54"/>
      <c r="G5" s="85"/>
      <c r="H5" s="54"/>
      <c r="I5" s="272" t="s">
        <v>86</v>
      </c>
      <c r="J5" s="273"/>
      <c r="K5" s="273"/>
      <c r="L5" s="273"/>
      <c r="M5" s="274"/>
    </row>
    <row r="6" spans="1:15" ht="13.8" thickBot="1" x14ac:dyDescent="0.3">
      <c r="B6" s="218" t="s">
        <v>80</v>
      </c>
      <c r="C6" s="223">
        <v>2800000</v>
      </c>
      <c r="D6" s="54"/>
      <c r="F6" s="54"/>
      <c r="G6" s="85"/>
      <c r="H6" s="54"/>
      <c r="I6" s="64" t="s">
        <v>39</v>
      </c>
      <c r="J6" s="63" t="s">
        <v>85</v>
      </c>
      <c r="K6" s="63" t="s">
        <v>84</v>
      </c>
      <c r="L6" s="63" t="s">
        <v>83</v>
      </c>
      <c r="M6" s="62" t="s">
        <v>82</v>
      </c>
    </row>
    <row r="7" spans="1:15" ht="13.8" thickBot="1" x14ac:dyDescent="0.3">
      <c r="B7" s="219" t="s">
        <v>79</v>
      </c>
      <c r="C7" s="223">
        <v>2613393.79</v>
      </c>
      <c r="D7" s="54"/>
      <c r="F7" s="54"/>
      <c r="G7" s="178"/>
      <c r="H7" s="54"/>
      <c r="I7" s="59"/>
      <c r="J7" s="61" t="s">
        <v>88</v>
      </c>
      <c r="K7" s="109">
        <f>'datos  de costos y cantidades'!H2</f>
        <v>398.55810000118083</v>
      </c>
      <c r="L7" s="110">
        <f>'datos  de costos y cantidades'!F2</f>
        <v>93645.088989122014</v>
      </c>
      <c r="M7" s="111">
        <f>K7*L7</f>
        <v>37323008.741945967</v>
      </c>
      <c r="O7" s="112"/>
    </row>
    <row r="8" spans="1:15" ht="13.8" thickBot="1" x14ac:dyDescent="0.3">
      <c r="B8" s="219" t="s">
        <v>78</v>
      </c>
      <c r="C8" s="233">
        <v>2012389</v>
      </c>
      <c r="D8" s="54"/>
      <c r="F8" s="54"/>
      <c r="G8" s="54"/>
      <c r="H8" s="54"/>
      <c r="I8" s="58">
        <v>1</v>
      </c>
      <c r="J8" s="60" t="s">
        <v>89</v>
      </c>
      <c r="K8" s="113">
        <f>'datos  de costos y cantidades'!H3</f>
        <v>128.63301249978122</v>
      </c>
      <c r="L8" s="110">
        <f>'datos  de costos y cantidades'!F3</f>
        <v>125406.78162775573</v>
      </c>
      <c r="M8" s="111">
        <f t="shared" ref="M8:M13" si="0">K8*L8</f>
        <v>16131452.108680436</v>
      </c>
    </row>
    <row r="9" spans="1:15" ht="13.8" thickBot="1" x14ac:dyDescent="0.3">
      <c r="A9" s="4"/>
      <c r="B9" s="219" t="s">
        <v>77</v>
      </c>
      <c r="C9" s="223">
        <v>2613393.79</v>
      </c>
      <c r="D9" s="54"/>
      <c r="F9" s="54"/>
      <c r="G9" s="54"/>
      <c r="H9" s="54"/>
      <c r="I9" s="58"/>
      <c r="J9" s="65" t="s">
        <v>90</v>
      </c>
      <c r="K9" s="114">
        <f>'datos  de costos y cantidades'!H4</f>
        <v>129.7386616965336</v>
      </c>
      <c r="L9" s="110">
        <f>'datos  de costos y cantidades'!F4</f>
        <v>92980.000886507929</v>
      </c>
      <c r="M9" s="111">
        <f t="shared" si="0"/>
        <v>12063100.879558045</v>
      </c>
    </row>
    <row r="10" spans="1:15" ht="13.8" thickBot="1" x14ac:dyDescent="0.3">
      <c r="B10" s="220" t="s">
        <v>76</v>
      </c>
      <c r="C10" s="231">
        <f>SUM(C5:C9)</f>
        <v>35130979.183359995</v>
      </c>
      <c r="D10" s="2"/>
      <c r="F10" s="54"/>
      <c r="G10" s="54"/>
      <c r="H10" s="54"/>
      <c r="I10" s="58"/>
      <c r="J10" s="65" t="s">
        <v>91</v>
      </c>
      <c r="K10" s="114">
        <f>'datos  de costos y cantidades'!H5</f>
        <v>126.5647366066176</v>
      </c>
      <c r="L10" s="110">
        <f>'datos  de costos y cantidades'!F5</f>
        <v>88549.937581190461</v>
      </c>
      <c r="M10" s="111">
        <f t="shared" si="0"/>
        <v>11207299.526495799</v>
      </c>
    </row>
    <row r="11" spans="1:15" ht="13.8" thickBot="1" x14ac:dyDescent="0.3">
      <c r="B11" s="218" t="s">
        <v>75</v>
      </c>
      <c r="C11" s="225">
        <v>135900000</v>
      </c>
      <c r="D11" s="54"/>
      <c r="F11" s="2"/>
      <c r="G11" s="2"/>
      <c r="H11" s="54"/>
      <c r="I11" s="58"/>
      <c r="J11" s="65" t="s">
        <v>92</v>
      </c>
      <c r="K11" s="114">
        <f>'datos  de costos y cantidades'!H6</f>
        <v>130.44477864002639</v>
      </c>
      <c r="L11" s="110">
        <f>'datos  de costos y cantidades'!F6</f>
        <v>114386.78028221345</v>
      </c>
      <c r="M11" s="111">
        <f t="shared" si="0"/>
        <v>14921158.233258668</v>
      </c>
    </row>
    <row r="12" spans="1:15" ht="25.2" customHeight="1" thickBot="1" x14ac:dyDescent="0.3">
      <c r="B12" s="219" t="s">
        <v>74</v>
      </c>
      <c r="C12" s="223">
        <v>3200000</v>
      </c>
      <c r="D12" s="54"/>
      <c r="F12" s="178"/>
      <c r="G12" s="54"/>
      <c r="H12" s="54"/>
      <c r="I12" s="58"/>
      <c r="J12" s="65" t="s">
        <v>93</v>
      </c>
      <c r="K12" s="114">
        <f>'datos  de costos y cantidades'!H7</f>
        <v>131.538886261812</v>
      </c>
      <c r="L12" s="110">
        <f>'datos  de costos y cantidades'!F7</f>
        <v>128029.64557201647</v>
      </c>
      <c r="M12" s="111">
        <f t="shared" si="0"/>
        <v>16840876.987037577</v>
      </c>
    </row>
    <row r="13" spans="1:15" x14ac:dyDescent="0.25">
      <c r="B13" s="219" t="s">
        <v>73</v>
      </c>
      <c r="C13" s="223">
        <v>12000000</v>
      </c>
      <c r="D13" s="54"/>
      <c r="F13" s="54"/>
      <c r="G13" s="54"/>
      <c r="H13" s="54"/>
      <c r="I13" s="58"/>
      <c r="J13" s="65" t="s">
        <v>94</v>
      </c>
      <c r="K13" s="114">
        <f>'datos  de costos y cantidades'!H8</f>
        <v>126.58018908177479</v>
      </c>
      <c r="L13" s="110">
        <f>'datos  de costos y cantidades'!F8</f>
        <v>121537.15930753968</v>
      </c>
      <c r="M13" s="111">
        <f t="shared" si="0"/>
        <v>15384196.605610158</v>
      </c>
    </row>
    <row r="14" spans="1:15" ht="13.8" thickBot="1" x14ac:dyDescent="0.3">
      <c r="B14" s="218" t="s">
        <v>72</v>
      </c>
      <c r="C14" s="223">
        <v>500000</v>
      </c>
      <c r="D14" s="54"/>
      <c r="F14" s="54"/>
      <c r="G14" s="2"/>
      <c r="H14" s="54"/>
      <c r="I14" s="95"/>
      <c r="J14" s="93"/>
      <c r="K14" s="115"/>
      <c r="L14" s="115"/>
      <c r="M14" s="116">
        <f>SUM(M7:M13)</f>
        <v>123871093.08258665</v>
      </c>
    </row>
    <row r="15" spans="1:15" ht="13.8" thickBot="1" x14ac:dyDescent="0.3">
      <c r="A15" s="206"/>
      <c r="B15" s="218" t="s">
        <v>71</v>
      </c>
      <c r="C15" s="223">
        <v>8000000</v>
      </c>
      <c r="D15" s="54"/>
      <c r="F15" s="54"/>
      <c r="G15" s="178"/>
      <c r="H15" s="54"/>
      <c r="I15" s="90">
        <v>2</v>
      </c>
      <c r="J15" s="67" t="s">
        <v>88</v>
      </c>
      <c r="K15" s="110">
        <f>K7*1.3</f>
        <v>518.12553000153514</v>
      </c>
      <c r="L15" s="110">
        <f>L7*1.3</f>
        <v>121738.61568585862</v>
      </c>
      <c r="M15" s="111">
        <f>K15*L15</f>
        <v>63075884.773888692</v>
      </c>
    </row>
    <row r="16" spans="1:15" ht="13.8" thickBot="1" x14ac:dyDescent="0.3">
      <c r="B16" s="219" t="s">
        <v>70</v>
      </c>
      <c r="C16" s="223">
        <v>5000000</v>
      </c>
      <c r="D16" s="54"/>
      <c r="F16" s="54"/>
      <c r="G16" s="54"/>
      <c r="H16" s="54"/>
      <c r="I16" s="91"/>
      <c r="J16" s="57" t="s">
        <v>89</v>
      </c>
      <c r="K16" s="110">
        <f t="shared" ref="K16:L21" si="1">K8*1.3</f>
        <v>167.22291624971558</v>
      </c>
      <c r="L16" s="110">
        <f t="shared" si="1"/>
        <v>163028.81611608245</v>
      </c>
      <c r="M16" s="111">
        <f t="shared" ref="M16:M21" si="2">K16*L16</f>
        <v>27262154.063669939</v>
      </c>
    </row>
    <row r="17" spans="1:31" ht="13.8" thickBot="1" x14ac:dyDescent="0.3">
      <c r="B17" s="218" t="s">
        <v>69</v>
      </c>
      <c r="C17" s="223">
        <v>2500000</v>
      </c>
      <c r="D17" s="54"/>
      <c r="F17" s="2"/>
      <c r="G17" s="54"/>
      <c r="H17" s="54"/>
      <c r="I17" s="91"/>
      <c r="J17" s="57" t="s">
        <v>90</v>
      </c>
      <c r="K17" s="110">
        <f t="shared" si="1"/>
        <v>168.66026020549367</v>
      </c>
      <c r="L17" s="110">
        <f t="shared" si="1"/>
        <v>120874.00115246032</v>
      </c>
      <c r="M17" s="111">
        <f t="shared" si="2"/>
        <v>20386640.486453097</v>
      </c>
    </row>
    <row r="18" spans="1:31" ht="13.8" thickBot="1" x14ac:dyDescent="0.3">
      <c r="A18" s="206"/>
      <c r="B18" s="221" t="s">
        <v>7</v>
      </c>
      <c r="C18" s="224">
        <f>+C10-C11</f>
        <v>-100769020.81664</v>
      </c>
      <c r="D18" s="2"/>
      <c r="F18" s="54"/>
      <c r="G18" s="54"/>
      <c r="H18" s="54"/>
      <c r="I18" s="91"/>
      <c r="J18" s="57" t="s">
        <v>91</v>
      </c>
      <c r="K18" s="110">
        <f t="shared" si="1"/>
        <v>164.53415758860288</v>
      </c>
      <c r="L18" s="110">
        <f t="shared" si="1"/>
        <v>115114.9188555476</v>
      </c>
      <c r="M18" s="111">
        <f t="shared" si="2"/>
        <v>18940336.199777901</v>
      </c>
    </row>
    <row r="19" spans="1:31" ht="13.8" thickBot="1" x14ac:dyDescent="0.3">
      <c r="B19" s="218" t="s">
        <v>68</v>
      </c>
      <c r="C19" s="225">
        <v>16520800</v>
      </c>
      <c r="D19" s="54"/>
      <c r="F19" s="54"/>
      <c r="G19" s="54"/>
      <c r="H19" s="54"/>
      <c r="I19" s="91"/>
      <c r="J19" s="57" t="s">
        <v>92</v>
      </c>
      <c r="K19" s="110">
        <f t="shared" si="1"/>
        <v>169.5782122320343</v>
      </c>
      <c r="L19" s="110">
        <f t="shared" si="1"/>
        <v>148702.81436687749</v>
      </c>
      <c r="M19" s="111">
        <f t="shared" si="2"/>
        <v>25216757.414207149</v>
      </c>
    </row>
    <row r="20" spans="1:31" ht="13.8" thickBot="1" x14ac:dyDescent="0.3">
      <c r="B20" s="218" t="s">
        <v>67</v>
      </c>
      <c r="C20" s="223">
        <v>8620000</v>
      </c>
      <c r="D20" s="54"/>
      <c r="F20" s="54"/>
      <c r="G20" s="2"/>
      <c r="H20" s="53"/>
      <c r="I20" s="91"/>
      <c r="J20" s="57" t="s">
        <v>93</v>
      </c>
      <c r="K20" s="110">
        <f t="shared" si="1"/>
        <v>171.00055214035561</v>
      </c>
      <c r="L20" s="110">
        <f t="shared" si="1"/>
        <v>166438.5392436214</v>
      </c>
      <c r="M20" s="111">
        <f t="shared" si="2"/>
        <v>28461082.108093504</v>
      </c>
    </row>
    <row r="21" spans="1:31" x14ac:dyDescent="0.25">
      <c r="B21" s="220" t="s">
        <v>6</v>
      </c>
      <c r="C21" s="224">
        <f>C18+C19-C20</f>
        <v>-92868220.816640005</v>
      </c>
      <c r="D21" s="2"/>
      <c r="F21" s="54"/>
      <c r="G21" s="54"/>
      <c r="H21" s="54"/>
      <c r="I21" s="68"/>
      <c r="J21" s="57" t="s">
        <v>94</v>
      </c>
      <c r="K21" s="110">
        <f t="shared" si="1"/>
        <v>164.55424580630722</v>
      </c>
      <c r="L21" s="110">
        <f t="shared" si="1"/>
        <v>157998.3070998016</v>
      </c>
      <c r="M21" s="111">
        <f t="shared" si="2"/>
        <v>25999292.26348117</v>
      </c>
    </row>
    <row r="22" spans="1:31" ht="13.8" thickBot="1" x14ac:dyDescent="0.3">
      <c r="B22" s="218" t="s">
        <v>63</v>
      </c>
      <c r="C22" s="223">
        <v>7870000</v>
      </c>
      <c r="D22" s="54"/>
      <c r="F22" s="2"/>
      <c r="G22" s="54"/>
      <c r="H22" s="54"/>
      <c r="I22" s="92"/>
      <c r="J22" s="55"/>
      <c r="K22" s="117"/>
      <c r="L22" s="117"/>
      <c r="M22" s="118">
        <f>SUM(M15:M21)</f>
        <v>209342147.30957144</v>
      </c>
    </row>
    <row r="23" spans="1:31" ht="13.8" thickBot="1" x14ac:dyDescent="0.3">
      <c r="B23" s="222" t="s">
        <v>0</v>
      </c>
      <c r="C23" s="226">
        <v>35830000</v>
      </c>
      <c r="D23" s="2"/>
      <c r="F23" s="2"/>
      <c r="G23" s="54"/>
      <c r="H23" s="54"/>
      <c r="I23" s="66"/>
      <c r="J23" s="94" t="s">
        <v>88</v>
      </c>
      <c r="K23" s="119">
        <f>K15*1.3</f>
        <v>673.56318900199574</v>
      </c>
      <c r="L23" s="119">
        <f>L15*1.3</f>
        <v>158260.20039161621</v>
      </c>
      <c r="M23" s="120">
        <f>K23*L23</f>
        <v>106598245.2678719</v>
      </c>
    </row>
    <row r="24" spans="1:31" ht="13.8" thickBot="1" x14ac:dyDescent="0.3">
      <c r="B24" s="87"/>
      <c r="C24" s="2"/>
      <c r="D24" s="2"/>
      <c r="E24" s="2"/>
      <c r="F24" s="2"/>
      <c r="G24" s="54"/>
      <c r="H24" s="54"/>
      <c r="I24" s="58">
        <v>3</v>
      </c>
      <c r="J24" s="60" t="s">
        <v>89</v>
      </c>
      <c r="K24" s="119">
        <f t="shared" ref="K24:K29" si="3">K16*1.3</f>
        <v>217.38979112463025</v>
      </c>
      <c r="L24" s="119">
        <f t="shared" ref="L24:L29" si="4">L16*1.3</f>
        <v>211937.4609509072</v>
      </c>
      <c r="M24" s="111">
        <f t="shared" ref="M24:M29" si="5">K24*L24</f>
        <v>46073040.367602199</v>
      </c>
    </row>
    <row r="25" spans="1:31" ht="13.8" thickBot="1" x14ac:dyDescent="0.3">
      <c r="B25" s="87"/>
      <c r="C25" s="2"/>
      <c r="D25" s="2"/>
      <c r="E25" s="2"/>
      <c r="F25" s="2"/>
      <c r="G25" s="2"/>
      <c r="H25" s="53"/>
      <c r="I25" s="58"/>
      <c r="J25" s="65" t="s">
        <v>90</v>
      </c>
      <c r="K25" s="119">
        <f t="shared" si="3"/>
        <v>219.25833826714177</v>
      </c>
      <c r="L25" s="119">
        <f t="shared" si="4"/>
        <v>157136.20149819841</v>
      </c>
      <c r="M25" s="111">
        <f t="shared" si="5"/>
        <v>34453422.422105737</v>
      </c>
    </row>
    <row r="26" spans="1:31" ht="13.8" thickBot="1" x14ac:dyDescent="0.3">
      <c r="B26" s="87"/>
      <c r="C26" s="2"/>
      <c r="D26" s="2"/>
      <c r="E26" s="2"/>
      <c r="F26" s="2"/>
      <c r="G26" s="2"/>
      <c r="H26" s="2"/>
      <c r="I26" s="58"/>
      <c r="J26" s="65" t="s">
        <v>91</v>
      </c>
      <c r="K26" s="119">
        <f t="shared" si="3"/>
        <v>213.89440486518376</v>
      </c>
      <c r="L26" s="119">
        <f t="shared" si="4"/>
        <v>149649.39451221187</v>
      </c>
      <c r="M26" s="111">
        <f t="shared" si="5"/>
        <v>32009168.177624654</v>
      </c>
    </row>
    <row r="27" spans="1:31" ht="13.8" thickBot="1" x14ac:dyDescent="0.3">
      <c r="B27" s="87"/>
      <c r="C27" s="2"/>
      <c r="D27" s="2"/>
      <c r="E27" s="2"/>
      <c r="F27" s="2"/>
      <c r="G27" s="2"/>
      <c r="H27" s="52"/>
      <c r="I27" s="58"/>
      <c r="J27" s="65" t="s">
        <v>92</v>
      </c>
      <c r="K27" s="119">
        <f t="shared" si="3"/>
        <v>220.45167590164459</v>
      </c>
      <c r="L27" s="119">
        <f t="shared" si="4"/>
        <v>193313.65867694074</v>
      </c>
      <c r="M27" s="111">
        <f t="shared" si="5"/>
        <v>42616320.030010089</v>
      </c>
    </row>
    <row r="28" spans="1:31" ht="13.8" thickBot="1" x14ac:dyDescent="0.3">
      <c r="F28" s="52"/>
      <c r="G28" s="2"/>
      <c r="I28" s="58"/>
      <c r="J28" s="65" t="s">
        <v>93</v>
      </c>
      <c r="K28" s="119">
        <f t="shared" si="3"/>
        <v>222.3007177824623</v>
      </c>
      <c r="L28" s="119">
        <f t="shared" si="4"/>
        <v>216370.10101670783</v>
      </c>
      <c r="M28" s="111">
        <f>K28*L28</f>
        <v>48099228.762678027</v>
      </c>
    </row>
    <row r="29" spans="1:31" x14ac:dyDescent="0.25">
      <c r="B29" s="272" t="s">
        <v>60</v>
      </c>
      <c r="C29" s="273"/>
      <c r="D29" s="273"/>
      <c r="E29" s="274"/>
      <c r="G29" s="2"/>
      <c r="I29" s="58"/>
      <c r="J29" s="65" t="s">
        <v>94</v>
      </c>
      <c r="K29" s="119">
        <f t="shared" si="3"/>
        <v>213.92051954819939</v>
      </c>
      <c r="L29" s="119">
        <f t="shared" si="4"/>
        <v>205397.79922974209</v>
      </c>
      <c r="M29" s="111">
        <f t="shared" si="5"/>
        <v>43938803.925283179</v>
      </c>
    </row>
    <row r="30" spans="1:31" ht="13.8" thickBot="1" x14ac:dyDescent="0.3">
      <c r="B30" s="44"/>
      <c r="C30" s="17" t="s">
        <v>3</v>
      </c>
      <c r="D30" s="17" t="s">
        <v>2</v>
      </c>
      <c r="E30" s="51" t="s">
        <v>1</v>
      </c>
      <c r="G30" s="2"/>
      <c r="I30" s="56"/>
      <c r="J30" s="55"/>
      <c r="K30" s="117"/>
      <c r="L30" s="117"/>
      <c r="M30" s="118">
        <f>SUM(M23:M29)</f>
        <v>353788228.95317578</v>
      </c>
    </row>
    <row r="31" spans="1:31" ht="13.8" thickBot="1" x14ac:dyDescent="0.3">
      <c r="B31" s="50" t="s">
        <v>58</v>
      </c>
      <c r="C31" s="47">
        <f>K49</f>
        <v>19120544.714382082</v>
      </c>
      <c r="D31" s="47">
        <f>R49</f>
        <v>30632577.077771876</v>
      </c>
      <c r="E31" s="46">
        <f>Y49</f>
        <v>51888068.035082057</v>
      </c>
      <c r="G31" s="52"/>
    </row>
    <row r="32" spans="1:31" ht="15.75" customHeight="1" thickBot="1" x14ac:dyDescent="0.3">
      <c r="B32" s="48" t="s">
        <v>57</v>
      </c>
      <c r="C32" s="47">
        <f>C31/360*15</f>
        <v>796689.36309925339</v>
      </c>
      <c r="D32" s="47">
        <f>D31/360*15</f>
        <v>1276357.378240495</v>
      </c>
      <c r="E32" s="46">
        <f>E31/360*15</f>
        <v>2162002.8347950857</v>
      </c>
      <c r="J32" s="296" t="s">
        <v>66</v>
      </c>
      <c r="K32" s="297"/>
      <c r="L32" s="297"/>
      <c r="M32" s="297"/>
      <c r="N32" s="297"/>
      <c r="O32" s="297"/>
      <c r="P32" s="297"/>
      <c r="Q32" s="297"/>
      <c r="R32" s="297"/>
      <c r="S32" s="297"/>
      <c r="T32" s="297"/>
      <c r="U32" s="297"/>
      <c r="V32" s="297"/>
      <c r="W32" s="297"/>
      <c r="X32" s="297"/>
      <c r="Y32" s="297"/>
      <c r="Z32" s="297"/>
      <c r="AA32" s="297"/>
      <c r="AB32" s="297"/>
      <c r="AC32" s="297"/>
      <c r="AD32" s="297"/>
      <c r="AE32" s="298"/>
    </row>
    <row r="33" spans="2:31" ht="13.8" thickBot="1" x14ac:dyDescent="0.3">
      <c r="B33" s="48" t="s">
        <v>55</v>
      </c>
      <c r="C33" s="47">
        <v>8000000</v>
      </c>
      <c r="D33" s="47">
        <f>C32</f>
        <v>796689.36309925339</v>
      </c>
      <c r="E33" s="46">
        <f>D32</f>
        <v>1276357.378240495</v>
      </c>
      <c r="J33" s="76"/>
      <c r="K33" s="268" t="s">
        <v>65</v>
      </c>
      <c r="L33" s="269"/>
      <c r="M33" s="269"/>
      <c r="N33" s="269"/>
      <c r="O33" s="269"/>
      <c r="P33" s="269"/>
      <c r="Q33" s="286"/>
      <c r="R33" s="268" t="s">
        <v>64</v>
      </c>
      <c r="S33" s="269"/>
      <c r="T33" s="269"/>
      <c r="U33" s="269"/>
      <c r="V33" s="269"/>
      <c r="W33" s="269"/>
      <c r="X33" s="286"/>
      <c r="Y33" s="268" t="s">
        <v>1</v>
      </c>
      <c r="Z33" s="269"/>
      <c r="AA33" s="269"/>
      <c r="AB33" s="269"/>
      <c r="AC33" s="269"/>
      <c r="AD33" s="269"/>
      <c r="AE33" s="286"/>
    </row>
    <row r="34" spans="2:31" ht="27" thickBot="1" x14ac:dyDescent="0.3">
      <c r="B34" s="45" t="s">
        <v>54</v>
      </c>
      <c r="C34" s="10">
        <f>C31+C32-C33</f>
        <v>11917234.077481337</v>
      </c>
      <c r="D34" s="10">
        <f>D31+D32-D33</f>
        <v>31112245.092913117</v>
      </c>
      <c r="E34" s="9">
        <f>E31+E32-E33</f>
        <v>52773713.491636649</v>
      </c>
      <c r="J34" s="76"/>
      <c r="K34" s="121" t="s">
        <v>88</v>
      </c>
      <c r="L34" s="122" t="s">
        <v>89</v>
      </c>
      <c r="M34" s="123" t="s">
        <v>90</v>
      </c>
      <c r="N34" s="123" t="s">
        <v>91</v>
      </c>
      <c r="O34" s="123" t="s">
        <v>92</v>
      </c>
      <c r="P34" s="123" t="s">
        <v>93</v>
      </c>
      <c r="Q34" s="124" t="s">
        <v>94</v>
      </c>
      <c r="R34" s="121" t="s">
        <v>88</v>
      </c>
      <c r="S34" s="122" t="s">
        <v>89</v>
      </c>
      <c r="T34" s="123" t="s">
        <v>90</v>
      </c>
      <c r="U34" s="123" t="s">
        <v>91</v>
      </c>
      <c r="V34" s="123" t="s">
        <v>92</v>
      </c>
      <c r="W34" s="123" t="s">
        <v>93</v>
      </c>
      <c r="X34" s="124" t="s">
        <v>94</v>
      </c>
      <c r="Y34" s="121" t="s">
        <v>88</v>
      </c>
      <c r="Z34" s="122" t="s">
        <v>89</v>
      </c>
      <c r="AA34" s="123" t="s">
        <v>90</v>
      </c>
      <c r="AB34" s="123" t="s">
        <v>91</v>
      </c>
      <c r="AC34" s="123" t="s">
        <v>92</v>
      </c>
      <c r="AD34" s="123" t="s">
        <v>93</v>
      </c>
      <c r="AE34" s="124" t="s">
        <v>94</v>
      </c>
    </row>
    <row r="35" spans="2:31" ht="13.8" thickBot="1" x14ac:dyDescent="0.3">
      <c r="J35" s="77" t="s">
        <v>62</v>
      </c>
      <c r="K35" s="125">
        <f>K7</f>
        <v>398.55810000118083</v>
      </c>
      <c r="L35" s="126">
        <f>K8</f>
        <v>128.63301249978122</v>
      </c>
      <c r="M35" s="126">
        <f>K9</f>
        <v>129.7386616965336</v>
      </c>
      <c r="N35" s="126">
        <f>K10</f>
        <v>126.5647366066176</v>
      </c>
      <c r="O35" s="126">
        <f>K11</f>
        <v>130.44477864002639</v>
      </c>
      <c r="P35" s="126">
        <f>K12</f>
        <v>131.538886261812</v>
      </c>
      <c r="Q35" s="127">
        <f>K13</f>
        <v>126.58018908177479</v>
      </c>
      <c r="R35" s="125">
        <f>K15</f>
        <v>518.12553000153514</v>
      </c>
      <c r="S35" s="126">
        <f>K21</f>
        <v>164.55424580630722</v>
      </c>
      <c r="T35" s="126">
        <f>K17</f>
        <v>168.66026020549367</v>
      </c>
      <c r="U35" s="126">
        <f>K18</f>
        <v>164.53415758860288</v>
      </c>
      <c r="V35" s="126">
        <f>K19</f>
        <v>169.5782122320343</v>
      </c>
      <c r="W35" s="126">
        <f>K20</f>
        <v>171.00055214035561</v>
      </c>
      <c r="X35" s="127">
        <f>K21</f>
        <v>164.55424580630722</v>
      </c>
      <c r="Y35" s="125">
        <f>K23</f>
        <v>673.56318900199574</v>
      </c>
      <c r="Z35" s="126">
        <f>K24</f>
        <v>217.38979112463025</v>
      </c>
      <c r="AA35" s="126">
        <f>K25</f>
        <v>219.25833826714177</v>
      </c>
      <c r="AB35" s="126">
        <f>K26</f>
        <v>213.89440486518376</v>
      </c>
      <c r="AC35" s="126">
        <f>K27</f>
        <v>220.45167590164459</v>
      </c>
      <c r="AD35" s="126">
        <f>K28</f>
        <v>222.3007177824623</v>
      </c>
      <c r="AE35" s="127">
        <f>K29</f>
        <v>213.92051954819939</v>
      </c>
    </row>
    <row r="36" spans="2:31" x14ac:dyDescent="0.25">
      <c r="B36" s="272" t="s">
        <v>52</v>
      </c>
      <c r="C36" s="273"/>
      <c r="D36" s="273"/>
      <c r="E36" s="274"/>
      <c r="I36" s="52"/>
      <c r="J36" s="78" t="s">
        <v>61</v>
      </c>
      <c r="K36" s="125">
        <f t="shared" ref="K36:AE36" si="6">(K35/360)*25</f>
        <v>27.677645833415337</v>
      </c>
      <c r="L36" s="126">
        <f t="shared" si="6"/>
        <v>8.9328480902625849</v>
      </c>
      <c r="M36" s="126">
        <f t="shared" si="6"/>
        <v>9.0096292844815</v>
      </c>
      <c r="N36" s="126">
        <f t="shared" si="6"/>
        <v>8.7892178199039996</v>
      </c>
      <c r="O36" s="126">
        <f t="shared" si="6"/>
        <v>9.0586651833351652</v>
      </c>
      <c r="P36" s="126">
        <f t="shared" si="6"/>
        <v>9.1346448792924999</v>
      </c>
      <c r="Q36" s="127">
        <f t="shared" si="6"/>
        <v>8.7902909084565835</v>
      </c>
      <c r="R36" s="125">
        <f t="shared" si="6"/>
        <v>35.980939583439941</v>
      </c>
      <c r="S36" s="126">
        <f t="shared" si="6"/>
        <v>11.427378180993557</v>
      </c>
      <c r="T36" s="126">
        <f t="shared" si="6"/>
        <v>11.712518069825949</v>
      </c>
      <c r="U36" s="126">
        <f t="shared" si="6"/>
        <v>11.4259831658752</v>
      </c>
      <c r="V36" s="126">
        <f t="shared" si="6"/>
        <v>11.776264738335716</v>
      </c>
      <c r="W36" s="126">
        <f t="shared" si="6"/>
        <v>11.87503834308025</v>
      </c>
      <c r="X36" s="127">
        <f t="shared" si="6"/>
        <v>11.427378180993557</v>
      </c>
      <c r="Y36" s="125">
        <f t="shared" si="6"/>
        <v>46.775221458471925</v>
      </c>
      <c r="Z36" s="126">
        <f t="shared" si="6"/>
        <v>15.096513272543769</v>
      </c>
      <c r="AA36" s="126">
        <f t="shared" si="6"/>
        <v>15.226273490773734</v>
      </c>
      <c r="AB36" s="126">
        <f t="shared" si="6"/>
        <v>14.853778115637761</v>
      </c>
      <c r="AC36" s="126">
        <f t="shared" si="6"/>
        <v>15.30914415983643</v>
      </c>
      <c r="AD36" s="126">
        <f t="shared" si="6"/>
        <v>15.437549846004325</v>
      </c>
      <c r="AE36" s="127">
        <f t="shared" si="6"/>
        <v>14.855591635291624</v>
      </c>
    </row>
    <row r="37" spans="2:31" x14ac:dyDescent="0.25">
      <c r="B37" s="43"/>
      <c r="C37" s="17" t="s">
        <v>3</v>
      </c>
      <c r="D37" s="17" t="s">
        <v>2</v>
      </c>
      <c r="E37" s="42" t="s">
        <v>1</v>
      </c>
      <c r="J37" s="77" t="s">
        <v>59</v>
      </c>
      <c r="K37" s="125">
        <v>0</v>
      </c>
      <c r="L37" s="126">
        <v>0</v>
      </c>
      <c r="M37" s="126">
        <v>0</v>
      </c>
      <c r="N37" s="126">
        <v>0</v>
      </c>
      <c r="O37" s="126">
        <v>0</v>
      </c>
      <c r="P37" s="126">
        <v>0</v>
      </c>
      <c r="Q37" s="127">
        <v>0</v>
      </c>
      <c r="R37" s="125">
        <f t="shared" ref="R37:AE37" si="7">K36</f>
        <v>27.677645833415337</v>
      </c>
      <c r="S37" s="126">
        <f t="shared" si="7"/>
        <v>8.9328480902625849</v>
      </c>
      <c r="T37" s="126">
        <f t="shared" si="7"/>
        <v>9.0096292844815</v>
      </c>
      <c r="U37" s="126">
        <f t="shared" si="7"/>
        <v>8.7892178199039996</v>
      </c>
      <c r="V37" s="126">
        <f t="shared" si="7"/>
        <v>9.0586651833351652</v>
      </c>
      <c r="W37" s="126">
        <f t="shared" si="7"/>
        <v>9.1346448792924999</v>
      </c>
      <c r="X37" s="127">
        <f t="shared" si="7"/>
        <v>8.7902909084565835</v>
      </c>
      <c r="Y37" s="125">
        <f t="shared" si="7"/>
        <v>35.980939583439941</v>
      </c>
      <c r="Z37" s="126">
        <f t="shared" si="7"/>
        <v>11.427378180993557</v>
      </c>
      <c r="AA37" s="126">
        <f t="shared" si="7"/>
        <v>11.712518069825949</v>
      </c>
      <c r="AB37" s="126">
        <f t="shared" si="7"/>
        <v>11.4259831658752</v>
      </c>
      <c r="AC37" s="126">
        <f t="shared" si="7"/>
        <v>11.776264738335716</v>
      </c>
      <c r="AD37" s="126">
        <f t="shared" si="7"/>
        <v>11.87503834308025</v>
      </c>
      <c r="AE37" s="127">
        <f t="shared" si="7"/>
        <v>11.427378180993557</v>
      </c>
    </row>
    <row r="38" spans="2:31" ht="13.8" thickBot="1" x14ac:dyDescent="0.3">
      <c r="B38" s="7" t="s">
        <v>49</v>
      </c>
      <c r="C38" s="41">
        <f>1500000*12</f>
        <v>18000000</v>
      </c>
      <c r="D38" s="41">
        <f t="shared" ref="D38:E40" si="8">C38*1.03</f>
        <v>18540000</v>
      </c>
      <c r="E38" s="40">
        <f t="shared" si="8"/>
        <v>19096200</v>
      </c>
      <c r="J38" s="89" t="s">
        <v>53</v>
      </c>
      <c r="K38" s="128">
        <f t="shared" ref="K38:AE38" si="9">K35+K36-K37</f>
        <v>426.23574583459617</v>
      </c>
      <c r="L38" s="129">
        <f t="shared" si="9"/>
        <v>137.5658605900438</v>
      </c>
      <c r="M38" s="129">
        <f t="shared" si="9"/>
        <v>138.74829098101509</v>
      </c>
      <c r="N38" s="129">
        <f t="shared" si="9"/>
        <v>135.3539544265216</v>
      </c>
      <c r="O38" s="129">
        <f t="shared" si="9"/>
        <v>139.50344382336155</v>
      </c>
      <c r="P38" s="129">
        <f t="shared" si="9"/>
        <v>140.67353114110449</v>
      </c>
      <c r="Q38" s="130">
        <f t="shared" si="9"/>
        <v>135.37047999023139</v>
      </c>
      <c r="R38" s="128">
        <f t="shared" si="9"/>
        <v>526.42882375155978</v>
      </c>
      <c r="S38" s="129">
        <f t="shared" si="9"/>
        <v>167.04877589703821</v>
      </c>
      <c r="T38" s="129">
        <f t="shared" si="9"/>
        <v>171.36314899083814</v>
      </c>
      <c r="U38" s="129">
        <f t="shared" si="9"/>
        <v>167.17092293457409</v>
      </c>
      <c r="V38" s="129">
        <f t="shared" si="9"/>
        <v>172.29581178703486</v>
      </c>
      <c r="W38" s="129">
        <f t="shared" si="9"/>
        <v>173.74094560414338</v>
      </c>
      <c r="X38" s="130">
        <f t="shared" si="9"/>
        <v>167.1913330788442</v>
      </c>
      <c r="Y38" s="128">
        <f t="shared" si="9"/>
        <v>684.35747087702771</v>
      </c>
      <c r="Z38" s="129">
        <f t="shared" si="9"/>
        <v>221.05892621618045</v>
      </c>
      <c r="AA38" s="129">
        <f t="shared" si="9"/>
        <v>222.77209368808954</v>
      </c>
      <c r="AB38" s="129">
        <f t="shared" si="9"/>
        <v>217.32219981494632</v>
      </c>
      <c r="AC38" s="129">
        <f t="shared" si="9"/>
        <v>223.98455532314529</v>
      </c>
      <c r="AD38" s="129">
        <f t="shared" si="9"/>
        <v>225.86322928538635</v>
      </c>
      <c r="AE38" s="130">
        <f t="shared" si="9"/>
        <v>217.34873300249745</v>
      </c>
    </row>
    <row r="39" spans="2:31" ht="44.4" customHeight="1" thickBot="1" x14ac:dyDescent="0.3">
      <c r="B39" s="7" t="s">
        <v>47</v>
      </c>
      <c r="C39" s="41">
        <f>600000*12</f>
        <v>7200000</v>
      </c>
      <c r="D39" s="41">
        <f t="shared" si="8"/>
        <v>7416000</v>
      </c>
      <c r="E39" s="40">
        <f t="shared" si="8"/>
        <v>7638480</v>
      </c>
      <c r="J39" s="49"/>
      <c r="K39" s="106"/>
      <c r="L39" s="106"/>
      <c r="M39" s="106"/>
      <c r="N39" s="106"/>
      <c r="O39" s="106"/>
      <c r="P39" s="106"/>
      <c r="Q39" s="106"/>
      <c r="R39" s="106"/>
      <c r="S39" s="106"/>
      <c r="T39" s="106"/>
    </row>
    <row r="40" spans="2:31" ht="13.8" thickBot="1" x14ac:dyDescent="0.3">
      <c r="B40" s="7" t="s">
        <v>45</v>
      </c>
      <c r="C40" s="41">
        <f>1660000*12</f>
        <v>19920000</v>
      </c>
      <c r="D40" s="41">
        <f>C40*1.03</f>
        <v>20517600</v>
      </c>
      <c r="E40" s="40">
        <f t="shared" si="8"/>
        <v>21133128</v>
      </c>
      <c r="F40" s="108"/>
      <c r="J40" s="270" t="s">
        <v>56</v>
      </c>
      <c r="K40" s="271"/>
      <c r="L40" s="271"/>
      <c r="M40" s="271"/>
      <c r="N40" s="271"/>
      <c r="O40" s="271"/>
      <c r="P40" s="271"/>
      <c r="Q40" s="271"/>
      <c r="R40" s="268" t="s">
        <v>56</v>
      </c>
      <c r="S40" s="269"/>
      <c r="T40" s="269"/>
      <c r="U40" s="269"/>
      <c r="V40" s="269"/>
      <c r="W40" s="269"/>
      <c r="X40" s="269"/>
      <c r="Y40" s="268" t="s">
        <v>56</v>
      </c>
      <c r="Z40" s="269"/>
      <c r="AA40" s="269"/>
      <c r="AB40" s="269"/>
      <c r="AC40" s="269"/>
      <c r="AD40" s="269"/>
      <c r="AE40" s="269"/>
    </row>
    <row r="41" spans="2:31" ht="15.75" customHeight="1" thickBot="1" x14ac:dyDescent="0.3">
      <c r="B41" s="7" t="s">
        <v>43</v>
      </c>
      <c r="C41" s="41">
        <v>0</v>
      </c>
      <c r="D41" s="41">
        <f t="shared" ref="D41:E42" si="10">C41*1.03</f>
        <v>0</v>
      </c>
      <c r="E41" s="40">
        <f t="shared" si="10"/>
        <v>0</v>
      </c>
      <c r="J41" s="76"/>
      <c r="K41" s="268" t="s">
        <v>65</v>
      </c>
      <c r="L41" s="269"/>
      <c r="M41" s="269"/>
      <c r="N41" s="269"/>
      <c r="O41" s="269"/>
      <c r="P41" s="269"/>
      <c r="Q41" s="286"/>
      <c r="R41" s="268" t="s">
        <v>64</v>
      </c>
      <c r="S41" s="269"/>
      <c r="T41" s="269"/>
      <c r="U41" s="269"/>
      <c r="V41" s="269"/>
      <c r="W41" s="269"/>
      <c r="X41" s="286"/>
      <c r="Y41" s="268" t="s">
        <v>1</v>
      </c>
      <c r="Z41" s="269"/>
      <c r="AA41" s="269"/>
      <c r="AB41" s="269"/>
      <c r="AC41" s="269"/>
      <c r="AD41" s="269"/>
      <c r="AE41" s="286"/>
    </row>
    <row r="42" spans="2:31" ht="26.4" x14ac:dyDescent="0.25">
      <c r="B42" s="7" t="s">
        <v>41</v>
      </c>
      <c r="C42" s="41">
        <f>2200000*12</f>
        <v>26400000</v>
      </c>
      <c r="D42" s="41">
        <f t="shared" si="10"/>
        <v>27192000</v>
      </c>
      <c r="E42" s="40">
        <f t="shared" si="10"/>
        <v>28007760</v>
      </c>
      <c r="J42" s="76"/>
      <c r="K42" s="121" t="s">
        <v>88</v>
      </c>
      <c r="L42" s="122" t="s">
        <v>89</v>
      </c>
      <c r="M42" s="123" t="s">
        <v>90</v>
      </c>
      <c r="N42" s="123" t="s">
        <v>91</v>
      </c>
      <c r="O42" s="123" t="s">
        <v>92</v>
      </c>
      <c r="P42" s="123" t="s">
        <v>93</v>
      </c>
      <c r="Q42" s="124" t="s">
        <v>94</v>
      </c>
      <c r="R42" s="121" t="s">
        <v>88</v>
      </c>
      <c r="S42" s="122" t="s">
        <v>89</v>
      </c>
      <c r="T42" s="123" t="s">
        <v>90</v>
      </c>
      <c r="U42" s="123" t="s">
        <v>91</v>
      </c>
      <c r="V42" s="123" t="s">
        <v>92</v>
      </c>
      <c r="W42" s="123" t="s">
        <v>93</v>
      </c>
      <c r="X42" s="124" t="s">
        <v>94</v>
      </c>
      <c r="Y42" s="121" t="s">
        <v>88</v>
      </c>
      <c r="Z42" s="122" t="s">
        <v>89</v>
      </c>
      <c r="AA42" s="123" t="s">
        <v>90</v>
      </c>
      <c r="AB42" s="123" t="s">
        <v>91</v>
      </c>
      <c r="AC42" s="123" t="s">
        <v>92</v>
      </c>
      <c r="AD42" s="123" t="s">
        <v>93</v>
      </c>
      <c r="AE42" s="124" t="s">
        <v>94</v>
      </c>
    </row>
    <row r="43" spans="2:31" ht="13.8" thickBot="1" x14ac:dyDescent="0.3">
      <c r="B43" s="23" t="s">
        <v>25</v>
      </c>
      <c r="C43" s="39">
        <f>SUM(C38:C42)</f>
        <v>71520000</v>
      </c>
      <c r="D43" s="38">
        <f>SUM(D38:D42)</f>
        <v>73665600</v>
      </c>
      <c r="E43" s="37">
        <f>SUM(E38:E42)</f>
        <v>75875568</v>
      </c>
      <c r="J43" s="77" t="s">
        <v>53</v>
      </c>
      <c r="K43" s="131">
        <f t="shared" ref="K43:AE43" si="11">K38</f>
        <v>426.23574583459617</v>
      </c>
      <c r="L43" s="132">
        <f t="shared" si="11"/>
        <v>137.5658605900438</v>
      </c>
      <c r="M43" s="132">
        <f t="shared" si="11"/>
        <v>138.74829098101509</v>
      </c>
      <c r="N43" s="132">
        <f t="shared" si="11"/>
        <v>135.3539544265216</v>
      </c>
      <c r="O43" s="132">
        <f t="shared" si="11"/>
        <v>139.50344382336155</v>
      </c>
      <c r="P43" s="132">
        <f t="shared" si="11"/>
        <v>140.67353114110449</v>
      </c>
      <c r="Q43" s="133">
        <f t="shared" si="11"/>
        <v>135.37047999023139</v>
      </c>
      <c r="R43" s="131">
        <f t="shared" si="11"/>
        <v>526.42882375155978</v>
      </c>
      <c r="S43" s="132">
        <f t="shared" si="11"/>
        <v>167.04877589703821</v>
      </c>
      <c r="T43" s="132">
        <f t="shared" si="11"/>
        <v>171.36314899083814</v>
      </c>
      <c r="U43" s="132">
        <f t="shared" si="11"/>
        <v>167.17092293457409</v>
      </c>
      <c r="V43" s="132">
        <f t="shared" si="11"/>
        <v>172.29581178703486</v>
      </c>
      <c r="W43" s="132">
        <f t="shared" si="11"/>
        <v>173.74094560414338</v>
      </c>
      <c r="X43" s="133">
        <f t="shared" si="11"/>
        <v>167.1913330788442</v>
      </c>
      <c r="Y43" s="131">
        <f t="shared" si="11"/>
        <v>684.35747087702771</v>
      </c>
      <c r="Z43" s="132">
        <f t="shared" si="11"/>
        <v>221.05892621618045</v>
      </c>
      <c r="AA43" s="132">
        <f t="shared" si="11"/>
        <v>222.77209368808954</v>
      </c>
      <c r="AB43" s="132">
        <f t="shared" si="11"/>
        <v>217.32219981494632</v>
      </c>
      <c r="AC43" s="132">
        <f t="shared" si="11"/>
        <v>223.98455532314529</v>
      </c>
      <c r="AD43" s="132">
        <f t="shared" si="11"/>
        <v>225.86322928538635</v>
      </c>
      <c r="AE43" s="133">
        <f t="shared" si="11"/>
        <v>217.34873300249745</v>
      </c>
    </row>
    <row r="44" spans="2:31" ht="13.8" thickBot="1" x14ac:dyDescent="0.3">
      <c r="J44" s="77" t="s">
        <v>51</v>
      </c>
      <c r="K44" s="131">
        <f>K43/360*5</f>
        <v>5.9199409143693913</v>
      </c>
      <c r="L44" s="132">
        <f t="shared" ref="L44" si="12">L43/360*5</f>
        <v>1.9106369526394973</v>
      </c>
      <c r="M44" s="132">
        <f t="shared" ref="M44" si="13">M43/360*5</f>
        <v>1.9270595969585429</v>
      </c>
      <c r="N44" s="132">
        <f t="shared" ref="N44" si="14">N43/360*5</f>
        <v>1.8799160337016887</v>
      </c>
      <c r="O44" s="132">
        <f t="shared" ref="O44" si="15">O43/360*5</f>
        <v>1.9375478308800216</v>
      </c>
      <c r="P44" s="132">
        <f t="shared" ref="P44" si="16">P43/360*5</f>
        <v>1.9537990436264514</v>
      </c>
      <c r="Q44" s="133">
        <f t="shared" ref="Q44" si="17">Q43/360*5</f>
        <v>1.8801455554198805</v>
      </c>
      <c r="R44" s="131">
        <f>R43/360*5</f>
        <v>7.3115114409938853</v>
      </c>
      <c r="S44" s="132">
        <f t="shared" ref="S44" si="18">S43/360*5</f>
        <v>2.3201218874588641</v>
      </c>
      <c r="T44" s="132">
        <f t="shared" ref="T44" si="19">T43/360*5</f>
        <v>2.3800437359838629</v>
      </c>
      <c r="U44" s="132">
        <f t="shared" ref="U44" si="20">U43/360*5</f>
        <v>2.3218183740913068</v>
      </c>
      <c r="V44" s="132">
        <f t="shared" ref="V44" si="21">V43/360*5</f>
        <v>2.3929973859310398</v>
      </c>
      <c r="W44" s="132">
        <f t="shared" ref="W44" si="22">W43/360*5</f>
        <v>2.4130686889464359</v>
      </c>
      <c r="X44" s="133">
        <f t="shared" ref="X44" si="23">X43/360*5</f>
        <v>2.3221018483172804</v>
      </c>
      <c r="Y44" s="131">
        <f t="shared" ref="Y44" si="24">Y43/360*5</f>
        <v>9.5049648732920513</v>
      </c>
      <c r="Z44" s="132">
        <f t="shared" ref="Z44" si="25">Z43/360*5</f>
        <v>3.0702628641136176</v>
      </c>
      <c r="AA44" s="132">
        <f t="shared" ref="AA44" si="26">AA43/360*5</f>
        <v>3.0940568567790216</v>
      </c>
      <c r="AB44" s="132">
        <f t="shared" ref="AB44" si="27">AB43/360*5</f>
        <v>3.0183638863186992</v>
      </c>
      <c r="AC44" s="132">
        <f t="shared" ref="AC44" si="28">AC43/360*5</f>
        <v>3.1108966017103512</v>
      </c>
      <c r="AD44" s="132">
        <f t="shared" ref="AD44" si="29">AD43/360*5</f>
        <v>3.1369892956303658</v>
      </c>
      <c r="AE44" s="133">
        <f t="shared" ref="AE44" si="30">AE43/360*5</f>
        <v>3.0187324028124647</v>
      </c>
    </row>
    <row r="45" spans="2:31" x14ac:dyDescent="0.25">
      <c r="B45" s="275" t="s">
        <v>33</v>
      </c>
      <c r="C45" s="276"/>
      <c r="D45" s="276"/>
      <c r="E45" s="277"/>
      <c r="J45" s="78" t="s">
        <v>50</v>
      </c>
      <c r="K45" s="131">
        <v>0</v>
      </c>
      <c r="L45" s="132">
        <v>0</v>
      </c>
      <c r="M45" s="132">
        <v>0</v>
      </c>
      <c r="N45" s="132">
        <v>0</v>
      </c>
      <c r="O45" s="132">
        <v>0</v>
      </c>
      <c r="P45" s="132">
        <v>0</v>
      </c>
      <c r="Q45" s="133">
        <v>0</v>
      </c>
      <c r="R45" s="131">
        <v>0</v>
      </c>
      <c r="S45" s="132">
        <v>0</v>
      </c>
      <c r="T45" s="132">
        <v>0</v>
      </c>
      <c r="U45" s="132">
        <v>0</v>
      </c>
      <c r="V45" s="132">
        <v>0</v>
      </c>
      <c r="W45" s="132">
        <v>0</v>
      </c>
      <c r="X45" s="133">
        <v>0</v>
      </c>
      <c r="Y45" s="131">
        <v>0</v>
      </c>
      <c r="Z45" s="132">
        <v>0</v>
      </c>
      <c r="AA45" s="132">
        <v>0</v>
      </c>
      <c r="AB45" s="132">
        <v>0</v>
      </c>
      <c r="AC45" s="132">
        <v>0</v>
      </c>
      <c r="AD45" s="132">
        <v>0</v>
      </c>
      <c r="AE45" s="133">
        <v>0</v>
      </c>
    </row>
    <row r="46" spans="2:31" x14ac:dyDescent="0.25">
      <c r="B46" s="32"/>
      <c r="C46" s="21" t="s">
        <v>3</v>
      </c>
      <c r="D46" s="21" t="s">
        <v>2</v>
      </c>
      <c r="E46" s="20" t="s">
        <v>1</v>
      </c>
      <c r="J46" s="77" t="s">
        <v>48</v>
      </c>
      <c r="K46" s="131">
        <f t="shared" ref="K46" si="31">K43+K44-K45</f>
        <v>432.15568674896554</v>
      </c>
      <c r="L46" s="132">
        <f t="shared" ref="L46" si="32">L43+L44-L45</f>
        <v>139.47649754268329</v>
      </c>
      <c r="M46" s="132">
        <f t="shared" ref="M46" si="33">M43+M44-M45</f>
        <v>140.67535057797363</v>
      </c>
      <c r="N46" s="132">
        <f t="shared" ref="N46" si="34">N43+N44-N45</f>
        <v>137.23387046022327</v>
      </c>
      <c r="O46" s="132">
        <f t="shared" ref="O46" si="35">O43+O44-O45</f>
        <v>141.44099165424157</v>
      </c>
      <c r="P46" s="132">
        <f t="shared" ref="P46" si="36">P43+P44-P45</f>
        <v>142.62733018473094</v>
      </c>
      <c r="Q46" s="133">
        <f t="shared" ref="Q46" si="37">Q43+Q44-Q45</f>
        <v>137.25062554565127</v>
      </c>
      <c r="R46" s="131">
        <f t="shared" ref="R46" si="38">R43+R44-R45</f>
        <v>533.74033519255363</v>
      </c>
      <c r="S46" s="132">
        <f t="shared" ref="S46" si="39">S43+S44-S45</f>
        <v>169.36889778449708</v>
      </c>
      <c r="T46" s="132">
        <f t="shared" ref="T46" si="40">T43+T44-T45</f>
        <v>173.743192726822</v>
      </c>
      <c r="U46" s="132">
        <f t="shared" ref="U46" si="41">U43+U44-U45</f>
        <v>169.49274130866539</v>
      </c>
      <c r="V46" s="132">
        <f t="shared" ref="V46" si="42">V43+V44-V45</f>
        <v>174.6888091729659</v>
      </c>
      <c r="W46" s="132">
        <f t="shared" ref="W46" si="43">W43+W44-W45</f>
        <v>176.1540142930898</v>
      </c>
      <c r="X46" s="133">
        <f t="shared" ref="X46" si="44">X43+X44-X45</f>
        <v>169.51343492716148</v>
      </c>
      <c r="Y46" s="131">
        <f t="shared" ref="Y46" si="45">Y43+Y44-Y45</f>
        <v>693.86243575031972</v>
      </c>
      <c r="Z46" s="132">
        <f t="shared" ref="Z46" si="46">Z43+Z44-Z45</f>
        <v>224.12918908029408</v>
      </c>
      <c r="AA46" s="132">
        <f t="shared" ref="AA46" si="47">AA43+AA44-AA45</f>
        <v>225.86615054486856</v>
      </c>
      <c r="AB46" s="132">
        <f t="shared" ref="AB46" si="48">AB43+AB44-AB45</f>
        <v>220.34056370126501</v>
      </c>
      <c r="AC46" s="132">
        <f t="shared" ref="AC46" si="49">AC43+AC44-AC45</f>
        <v>227.09545192485564</v>
      </c>
      <c r="AD46" s="132">
        <f t="shared" ref="AD46" si="50">AD43+AD44-AD45</f>
        <v>229.00021858101672</v>
      </c>
      <c r="AE46" s="133">
        <f t="shared" ref="AE46" si="51">AE43+AE44-AE45</f>
        <v>220.36746540530993</v>
      </c>
    </row>
    <row r="47" spans="2:31" x14ac:dyDescent="0.25">
      <c r="B47" s="24" t="s">
        <v>5</v>
      </c>
      <c r="C47" s="19">
        <f>2500000*12</f>
        <v>30000000</v>
      </c>
      <c r="D47" s="19">
        <f t="shared" ref="D47:E48" si="52">C47*1.03</f>
        <v>30900000</v>
      </c>
      <c r="E47" s="18">
        <f t="shared" si="52"/>
        <v>31827000</v>
      </c>
      <c r="J47" s="79" t="s">
        <v>46</v>
      </c>
      <c r="K47" s="131">
        <f>'datos  de costos y cantidades'!C2</f>
        <v>15595</v>
      </c>
      <c r="L47" s="132">
        <f>'datos  de costos y cantidades'!C3</f>
        <v>17830</v>
      </c>
      <c r="M47" s="132">
        <f>'datos  de costos y cantidades'!C4</f>
        <v>9450</v>
      </c>
      <c r="N47" s="132">
        <f>'datos  de costos y cantidades'!C5</f>
        <v>10620</v>
      </c>
      <c r="O47" s="132">
        <f>'datos  de costos y cantidades'!C6</f>
        <v>14000</v>
      </c>
      <c r="P47" s="132">
        <f>'datos  de costos y cantidades'!C7</f>
        <v>18040</v>
      </c>
      <c r="Q47" s="133">
        <f>'datos  de costos y cantidades'!C8</f>
        <v>18610</v>
      </c>
      <c r="R47" s="131">
        <f>K47*1.3</f>
        <v>20273.5</v>
      </c>
      <c r="S47" s="132">
        <f t="shared" ref="S47:AE47" si="53">L47*1.3</f>
        <v>23179</v>
      </c>
      <c r="T47" s="132">
        <f t="shared" si="53"/>
        <v>12285</v>
      </c>
      <c r="U47" s="132">
        <f t="shared" si="53"/>
        <v>13806</v>
      </c>
      <c r="V47" s="132">
        <f t="shared" si="53"/>
        <v>18200</v>
      </c>
      <c r="W47" s="132">
        <f t="shared" si="53"/>
        <v>23452</v>
      </c>
      <c r="X47" s="133">
        <f t="shared" si="53"/>
        <v>24193</v>
      </c>
      <c r="Y47" s="131">
        <f t="shared" si="53"/>
        <v>26355.55</v>
      </c>
      <c r="Z47" s="132">
        <f t="shared" si="53"/>
        <v>30132.7</v>
      </c>
      <c r="AA47" s="132">
        <f t="shared" si="53"/>
        <v>15970.5</v>
      </c>
      <c r="AB47" s="132">
        <f t="shared" si="53"/>
        <v>17947.8</v>
      </c>
      <c r="AC47" s="132">
        <f t="shared" si="53"/>
        <v>23660</v>
      </c>
      <c r="AD47" s="132">
        <f t="shared" si="53"/>
        <v>30487.600000000002</v>
      </c>
      <c r="AE47" s="133">
        <f t="shared" si="53"/>
        <v>31450.9</v>
      </c>
    </row>
    <row r="48" spans="2:31" x14ac:dyDescent="0.25">
      <c r="B48" s="27" t="s">
        <v>30</v>
      </c>
      <c r="C48" s="19">
        <f>C13*1.03</f>
        <v>12360000</v>
      </c>
      <c r="D48" s="19">
        <f t="shared" si="52"/>
        <v>12730800</v>
      </c>
      <c r="E48" s="18">
        <f t="shared" si="52"/>
        <v>13112724</v>
      </c>
      <c r="J48" s="79" t="s">
        <v>44</v>
      </c>
      <c r="K48" s="131">
        <f>K47*K46</f>
        <v>6739467.9348501172</v>
      </c>
      <c r="L48" s="132">
        <f t="shared" ref="L48:AE48" si="54">L47*L46</f>
        <v>2486865.9511860432</v>
      </c>
      <c r="M48" s="132">
        <f t="shared" si="54"/>
        <v>1329382.0629618508</v>
      </c>
      <c r="N48" s="132">
        <f t="shared" si="54"/>
        <v>1457423.7042875711</v>
      </c>
      <c r="O48" s="132">
        <f t="shared" si="54"/>
        <v>1980173.883159382</v>
      </c>
      <c r="P48" s="132">
        <f t="shared" si="54"/>
        <v>2572997.0365325459</v>
      </c>
      <c r="Q48" s="133">
        <f t="shared" si="54"/>
        <v>2554234.1414045701</v>
      </c>
      <c r="R48" s="131">
        <f t="shared" si="54"/>
        <v>10820784.685526237</v>
      </c>
      <c r="S48" s="132">
        <f t="shared" si="54"/>
        <v>3925801.6817468577</v>
      </c>
      <c r="T48" s="132">
        <f t="shared" si="54"/>
        <v>2134435.1226490084</v>
      </c>
      <c r="U48" s="132">
        <f t="shared" si="54"/>
        <v>2340016.7865074342</v>
      </c>
      <c r="V48" s="132">
        <f t="shared" si="54"/>
        <v>3179336.3269479796</v>
      </c>
      <c r="W48" s="132">
        <f t="shared" si="54"/>
        <v>4131163.9432015419</v>
      </c>
      <c r="X48" s="133">
        <f t="shared" si="54"/>
        <v>4101038.5311928177</v>
      </c>
      <c r="Y48" s="131">
        <f t="shared" si="54"/>
        <v>18287126.118539337</v>
      </c>
      <c r="Z48" s="132">
        <f t="shared" si="54"/>
        <v>6753617.6157997772</v>
      </c>
      <c r="AA48" s="132">
        <f t="shared" si="54"/>
        <v>3607195.3572768234</v>
      </c>
      <c r="AB48" s="132">
        <f t="shared" si="54"/>
        <v>3954628.3691975642</v>
      </c>
      <c r="AC48" s="132">
        <f t="shared" si="54"/>
        <v>5373078.3925420847</v>
      </c>
      <c r="AD48" s="132">
        <f t="shared" si="54"/>
        <v>6981667.0640106061</v>
      </c>
      <c r="AE48" s="133">
        <f t="shared" si="54"/>
        <v>6930755.1177158626</v>
      </c>
    </row>
    <row r="49" spans="2:31" ht="13.8" thickBot="1" x14ac:dyDescent="0.3">
      <c r="B49" s="27" t="s">
        <v>29</v>
      </c>
      <c r="C49" s="19">
        <f>C14*12</f>
        <v>6000000</v>
      </c>
      <c r="D49" s="19">
        <f>C49</f>
        <v>6000000</v>
      </c>
      <c r="E49" s="18">
        <f>D49</f>
        <v>6000000</v>
      </c>
      <c r="J49" s="80" t="s">
        <v>42</v>
      </c>
      <c r="K49" s="287">
        <f>K48+L48+M48+N48+O48+P48+Q48</f>
        <v>19120544.714382082</v>
      </c>
      <c r="L49" s="288"/>
      <c r="M49" s="288"/>
      <c r="N49" s="288"/>
      <c r="O49" s="288"/>
      <c r="P49" s="288"/>
      <c r="Q49" s="289"/>
      <c r="R49" s="287">
        <f>R48+S48+T48+U48+V48+W48+X48</f>
        <v>30632577.077771876</v>
      </c>
      <c r="S49" s="288"/>
      <c r="T49" s="288"/>
      <c r="U49" s="288"/>
      <c r="V49" s="288"/>
      <c r="W49" s="288"/>
      <c r="X49" s="289"/>
      <c r="Y49" s="287">
        <f>Y48+Z48+AA48+AB48+AC48+AD48+AE48</f>
        <v>51888068.035082057</v>
      </c>
      <c r="Z49" s="288"/>
      <c r="AA49" s="288"/>
      <c r="AB49" s="288"/>
      <c r="AC49" s="288"/>
      <c r="AD49" s="288"/>
      <c r="AE49" s="289"/>
    </row>
    <row r="50" spans="2:31" ht="16.5" customHeight="1" thickBot="1" x14ac:dyDescent="0.3">
      <c r="B50" s="27" t="s">
        <v>4</v>
      </c>
      <c r="C50" s="19">
        <f>C15*1.03*12</f>
        <v>98880000</v>
      </c>
      <c r="D50" s="19">
        <f t="shared" ref="D50:E51" si="55">C50*1.03</f>
        <v>101846400</v>
      </c>
      <c r="E50" s="18">
        <f t="shared" si="55"/>
        <v>104901792</v>
      </c>
    </row>
    <row r="51" spans="2:31" x14ac:dyDescent="0.25">
      <c r="B51" s="24" t="s">
        <v>28</v>
      </c>
      <c r="C51" s="19">
        <f>C16*1.03</f>
        <v>5150000</v>
      </c>
      <c r="D51" s="19">
        <f t="shared" si="55"/>
        <v>5304500</v>
      </c>
      <c r="E51" s="18">
        <f t="shared" si="55"/>
        <v>5463635</v>
      </c>
      <c r="I51" s="278" t="s">
        <v>40</v>
      </c>
      <c r="J51" s="279"/>
      <c r="K51" s="279"/>
      <c r="L51" s="279"/>
      <c r="M51" s="279"/>
      <c r="N51" s="279"/>
      <c r="O51" s="280"/>
    </row>
    <row r="52" spans="2:31" x14ac:dyDescent="0.25">
      <c r="B52" s="24" t="s">
        <v>27</v>
      </c>
      <c r="C52" s="19">
        <f>600000*12</f>
        <v>7200000</v>
      </c>
      <c r="D52" s="19">
        <f>C52*1.3</f>
        <v>9360000</v>
      </c>
      <c r="E52" s="19">
        <f>D52*1.3</f>
        <v>12168000</v>
      </c>
      <c r="I52" s="36" t="s">
        <v>39</v>
      </c>
      <c r="J52" s="34" t="s">
        <v>38</v>
      </c>
      <c r="K52" s="34" t="s">
        <v>37</v>
      </c>
      <c r="L52" s="35" t="s">
        <v>36</v>
      </c>
      <c r="M52" s="34" t="s">
        <v>35</v>
      </c>
      <c r="N52" s="34" t="s">
        <v>34</v>
      </c>
      <c r="O52" s="33" t="s">
        <v>21</v>
      </c>
    </row>
    <row r="53" spans="2:31" ht="15" customHeight="1" x14ac:dyDescent="0.25">
      <c r="B53" s="24" t="s">
        <v>26</v>
      </c>
      <c r="C53" s="19">
        <f>1500000*12</f>
        <v>18000000</v>
      </c>
      <c r="D53" s="19">
        <f>C53*1.03</f>
        <v>18540000</v>
      </c>
      <c r="E53" s="18">
        <f>D53*1.03</f>
        <v>19096200</v>
      </c>
      <c r="I53" s="31"/>
      <c r="J53" s="30" t="s">
        <v>32</v>
      </c>
      <c r="K53" s="29">
        <v>1</v>
      </c>
      <c r="L53" s="132">
        <f>K53*800000*12</f>
        <v>9600000</v>
      </c>
      <c r="M53" s="132">
        <f>L53*0.5</f>
        <v>4800000</v>
      </c>
      <c r="N53" s="132">
        <f>L53/12</f>
        <v>800000</v>
      </c>
      <c r="O53" s="133">
        <f>SUM(L53:N53)</f>
        <v>15200000</v>
      </c>
    </row>
    <row r="54" spans="2:31" ht="13.8" thickBot="1" x14ac:dyDescent="0.3">
      <c r="B54" s="23" t="s">
        <v>25</v>
      </c>
      <c r="C54" s="12">
        <f>SUM(C47:C53)</f>
        <v>177590000</v>
      </c>
      <c r="D54" s="12">
        <f>SUM(D47:D53)</f>
        <v>184681700</v>
      </c>
      <c r="E54" s="11">
        <f>SUM(E47:E53)</f>
        <v>192569351</v>
      </c>
      <c r="I54" s="31">
        <v>1</v>
      </c>
      <c r="J54" s="30" t="s">
        <v>31</v>
      </c>
      <c r="K54" s="29">
        <v>4</v>
      </c>
      <c r="L54" s="132">
        <f>K54*1000000*12</f>
        <v>48000000</v>
      </c>
      <c r="M54" s="132">
        <f>L54*0.5</f>
        <v>24000000</v>
      </c>
      <c r="N54" s="132">
        <f>L54/12</f>
        <v>4000000</v>
      </c>
      <c r="O54" s="133">
        <f>SUM(L54:N54)</f>
        <v>76000000</v>
      </c>
    </row>
    <row r="55" spans="2:31" ht="18" customHeight="1" thickBot="1" x14ac:dyDescent="0.3">
      <c r="I55" s="28"/>
      <c r="J55" s="83" t="s">
        <v>21</v>
      </c>
      <c r="K55" s="84">
        <f>SUM(K53:K54)</f>
        <v>5</v>
      </c>
      <c r="L55" s="134">
        <f>SUM(L53:L54)</f>
        <v>57600000</v>
      </c>
      <c r="M55" s="135">
        <f>SUM(M53:M54)</f>
        <v>28800000</v>
      </c>
      <c r="N55" s="134">
        <f>SUM(N53:N54)</f>
        <v>4800000</v>
      </c>
      <c r="O55" s="136">
        <f>SUM(O53:O54)</f>
        <v>91200000</v>
      </c>
      <c r="S55" s="170"/>
      <c r="T55" s="170"/>
      <c r="U55" s="170"/>
      <c r="V55" s="170"/>
      <c r="W55" s="170"/>
      <c r="X55" s="171"/>
      <c r="Y55" s="171"/>
      <c r="Z55" s="171"/>
      <c r="AA55" s="171"/>
      <c r="AB55" s="171"/>
      <c r="AC55" s="171"/>
    </row>
    <row r="56" spans="2:31" x14ac:dyDescent="0.25">
      <c r="B56" s="283" t="s">
        <v>24</v>
      </c>
      <c r="C56" s="284"/>
      <c r="D56" s="284"/>
      <c r="E56" s="285"/>
      <c r="I56" s="81">
        <v>2</v>
      </c>
      <c r="J56" s="82" t="s">
        <v>21</v>
      </c>
      <c r="K56" s="137"/>
      <c r="L56" s="137">
        <f t="shared" ref="L56:O57" si="56">L55*1.03</f>
        <v>59328000</v>
      </c>
      <c r="M56" s="137">
        <f t="shared" si="56"/>
        <v>29664000</v>
      </c>
      <c r="N56" s="137">
        <f t="shared" si="56"/>
        <v>4944000</v>
      </c>
      <c r="O56" s="138">
        <f t="shared" si="56"/>
        <v>93936000</v>
      </c>
      <c r="S56" s="170"/>
      <c r="T56" s="170"/>
      <c r="U56" s="170"/>
      <c r="V56" s="170"/>
      <c r="W56" s="170"/>
      <c r="X56" s="171"/>
      <c r="Y56" s="171"/>
      <c r="Z56" s="171"/>
      <c r="AA56" s="171"/>
      <c r="AB56" s="171"/>
      <c r="AC56" s="171"/>
    </row>
    <row r="57" spans="2:31" x14ac:dyDescent="0.25">
      <c r="B57" s="22"/>
      <c r="C57" s="21" t="s">
        <v>3</v>
      </c>
      <c r="D57" s="21" t="s">
        <v>2</v>
      </c>
      <c r="E57" s="20" t="s">
        <v>1</v>
      </c>
      <c r="I57" s="26">
        <v>3</v>
      </c>
      <c r="J57" s="25" t="s">
        <v>21</v>
      </c>
      <c r="K57" s="139"/>
      <c r="L57" s="140">
        <f t="shared" si="56"/>
        <v>61107840</v>
      </c>
      <c r="M57" s="140">
        <f t="shared" si="56"/>
        <v>30553920</v>
      </c>
      <c r="N57" s="140">
        <f t="shared" si="56"/>
        <v>5092320</v>
      </c>
      <c r="O57" s="141">
        <f t="shared" si="56"/>
        <v>96754080</v>
      </c>
      <c r="S57" s="170"/>
      <c r="T57" s="170"/>
      <c r="U57" s="170"/>
      <c r="V57" s="170"/>
      <c r="W57" s="170"/>
      <c r="X57" s="171"/>
      <c r="Y57" s="171"/>
      <c r="Z57" s="171"/>
      <c r="AA57" s="171"/>
      <c r="AB57" s="171"/>
      <c r="AC57" s="171"/>
    </row>
    <row r="58" spans="2:31" ht="13.8" thickBot="1" x14ac:dyDescent="0.3">
      <c r="B58" s="16" t="s">
        <v>23</v>
      </c>
      <c r="C58" s="142">
        <v>0</v>
      </c>
      <c r="D58" s="142">
        <v>0</v>
      </c>
      <c r="E58" s="143">
        <v>0</v>
      </c>
      <c r="F58" s="8"/>
      <c r="S58" s="171"/>
      <c r="T58" s="171"/>
      <c r="U58" s="171"/>
      <c r="V58" s="171"/>
      <c r="W58" s="171"/>
      <c r="X58" s="171"/>
      <c r="Y58" s="171"/>
      <c r="Z58" s="171"/>
      <c r="AA58" s="171"/>
      <c r="AB58" s="171"/>
      <c r="AC58" s="171"/>
    </row>
    <row r="59" spans="2:31" ht="15.75" customHeight="1" x14ac:dyDescent="0.25">
      <c r="B59" s="16" t="s">
        <v>22</v>
      </c>
      <c r="C59" s="142">
        <f>C34</f>
        <v>11917234.077481337</v>
      </c>
      <c r="D59" s="142">
        <f>D34</f>
        <v>31112245.092913117</v>
      </c>
      <c r="E59" s="143">
        <f>E34</f>
        <v>52773713.491636649</v>
      </c>
      <c r="J59" s="283" t="s">
        <v>106</v>
      </c>
      <c r="K59" s="284"/>
      <c r="L59" s="284"/>
      <c r="M59" s="285"/>
      <c r="S59" s="171"/>
      <c r="T59" s="171"/>
      <c r="U59" s="171"/>
      <c r="V59" s="171"/>
      <c r="W59" s="171"/>
      <c r="X59" s="171"/>
      <c r="Y59" s="171"/>
      <c r="Z59" s="171"/>
      <c r="AA59" s="171"/>
      <c r="AB59" s="171"/>
      <c r="AC59" s="171"/>
    </row>
    <row r="60" spans="2:31" x14ac:dyDescent="0.25">
      <c r="B60" s="16" t="s">
        <v>20</v>
      </c>
      <c r="C60" s="142">
        <f>C32</f>
        <v>796689.36309925339</v>
      </c>
      <c r="D60" s="142">
        <f>D32</f>
        <v>1276357.378240495</v>
      </c>
      <c r="E60" s="143">
        <f>E32</f>
        <v>2162002.8347950857</v>
      </c>
      <c r="J60" s="96"/>
      <c r="K60" s="98" t="s">
        <v>109</v>
      </c>
      <c r="L60" s="98" t="s">
        <v>110</v>
      </c>
      <c r="M60" s="99" t="s">
        <v>111</v>
      </c>
      <c r="S60" s="171"/>
      <c r="T60" s="171"/>
      <c r="U60" s="171"/>
      <c r="V60" s="171"/>
      <c r="W60" s="171"/>
      <c r="X60" s="171"/>
      <c r="Y60" s="171"/>
      <c r="Z60" s="171"/>
      <c r="AA60" s="171"/>
      <c r="AB60" s="171"/>
      <c r="AC60" s="171"/>
    </row>
    <row r="61" spans="2:31" ht="15" customHeight="1" x14ac:dyDescent="0.25">
      <c r="B61" s="15" t="s">
        <v>19</v>
      </c>
      <c r="C61" s="144">
        <f>C58+C59-C60</f>
        <v>11120544.714382084</v>
      </c>
      <c r="D61" s="144">
        <f t="shared" ref="D61:E61" si="57">D58+D59-D60</f>
        <v>29835887.714672621</v>
      </c>
      <c r="E61" s="144">
        <f t="shared" si="57"/>
        <v>50611710.656841561</v>
      </c>
      <c r="J61" s="96" t="s">
        <v>107</v>
      </c>
      <c r="K61" s="147">
        <f>C72</f>
        <v>171459167.38952753</v>
      </c>
      <c r="L61" s="147">
        <f>D72</f>
        <v>194732864.59529355</v>
      </c>
      <c r="M61" s="148">
        <f>E72</f>
        <v>220183257.85332319</v>
      </c>
      <c r="S61" s="171"/>
      <c r="T61" s="171"/>
      <c r="U61" s="171"/>
      <c r="V61" s="171"/>
      <c r="W61" s="171"/>
      <c r="X61" s="171"/>
      <c r="Y61" s="171"/>
      <c r="Z61" s="171"/>
      <c r="AA61" s="171"/>
      <c r="AB61" s="171"/>
      <c r="AC61" s="171"/>
    </row>
    <row r="62" spans="2:31" ht="13.8" thickBot="1" x14ac:dyDescent="0.3">
      <c r="B62" s="16" t="s">
        <v>18</v>
      </c>
      <c r="C62" s="142">
        <f>O55</f>
        <v>91200000</v>
      </c>
      <c r="D62" s="142">
        <f>O56</f>
        <v>93936000</v>
      </c>
      <c r="E62" s="143">
        <f>O57</f>
        <v>96754080</v>
      </c>
      <c r="J62" s="97" t="s">
        <v>108</v>
      </c>
      <c r="K62" s="149">
        <f>M14</f>
        <v>123871093.08258665</v>
      </c>
      <c r="L62" s="149">
        <f>M22</f>
        <v>209342147.30957144</v>
      </c>
      <c r="M62" s="150">
        <f>M30</f>
        <v>353788228.95317578</v>
      </c>
      <c r="S62" s="171"/>
      <c r="T62" s="171"/>
      <c r="U62" s="171"/>
      <c r="V62" s="171"/>
      <c r="W62" s="171"/>
      <c r="X62" s="171"/>
      <c r="Y62" s="171"/>
      <c r="Z62" s="171"/>
      <c r="AA62" s="171"/>
      <c r="AB62" s="171"/>
      <c r="AC62" s="171"/>
    </row>
    <row r="63" spans="2:31" ht="13.8" thickBot="1" x14ac:dyDescent="0.3">
      <c r="B63" s="16" t="s">
        <v>17</v>
      </c>
      <c r="C63" s="142">
        <f>C43</f>
        <v>71520000</v>
      </c>
      <c r="D63" s="142">
        <f>D43</f>
        <v>73665600</v>
      </c>
      <c r="E63" s="143">
        <f>E43</f>
        <v>75875568</v>
      </c>
      <c r="J63" s="100" t="s">
        <v>112</v>
      </c>
      <c r="K63" s="151">
        <f>K62-K61</f>
        <v>-47588074.306940883</v>
      </c>
      <c r="L63" s="151">
        <f t="shared" ref="L63:M63" si="58">L62-L61</f>
        <v>14609282.714277893</v>
      </c>
      <c r="M63" s="152">
        <f t="shared" si="58"/>
        <v>133604971.09985259</v>
      </c>
      <c r="S63" s="171"/>
      <c r="T63" s="171"/>
      <c r="U63" s="171"/>
      <c r="V63" s="171"/>
      <c r="W63" s="171"/>
      <c r="X63" s="171"/>
      <c r="Y63" s="171"/>
      <c r="Z63" s="171"/>
      <c r="AA63" s="171"/>
      <c r="AB63" s="171"/>
      <c r="AC63" s="171"/>
    </row>
    <row r="64" spans="2:31" x14ac:dyDescent="0.25">
      <c r="B64" s="16" t="s">
        <v>16</v>
      </c>
      <c r="C64" s="142">
        <f t="shared" ref="C64:E65" si="59">C38</f>
        <v>18000000</v>
      </c>
      <c r="D64" s="142">
        <f t="shared" si="59"/>
        <v>18540000</v>
      </c>
      <c r="E64" s="143">
        <f t="shared" si="59"/>
        <v>19096200</v>
      </c>
      <c r="S64" s="171"/>
      <c r="T64" s="171"/>
      <c r="U64" s="171"/>
      <c r="V64" s="171"/>
      <c r="W64" s="171"/>
      <c r="X64" s="171"/>
      <c r="Y64" s="171"/>
      <c r="Z64" s="171"/>
      <c r="AA64" s="171"/>
      <c r="AB64" s="171"/>
      <c r="AC64" s="171"/>
    </row>
    <row r="65" spans="2:29" x14ac:dyDescent="0.25">
      <c r="B65" s="16" t="s">
        <v>15</v>
      </c>
      <c r="C65" s="142">
        <f t="shared" si="59"/>
        <v>7200000</v>
      </c>
      <c r="D65" s="142">
        <f t="shared" si="59"/>
        <v>7416000</v>
      </c>
      <c r="E65" s="143">
        <f t="shared" si="59"/>
        <v>7638480</v>
      </c>
      <c r="S65" s="171"/>
      <c r="T65" s="171"/>
      <c r="U65" s="171"/>
      <c r="V65" s="171"/>
      <c r="W65" s="171"/>
      <c r="X65" s="171"/>
      <c r="Y65" s="171"/>
      <c r="Z65" s="171"/>
      <c r="AA65" s="171"/>
      <c r="AB65" s="171"/>
      <c r="AC65" s="171"/>
    </row>
    <row r="66" spans="2:29" x14ac:dyDescent="0.25">
      <c r="B66" s="16" t="s">
        <v>14</v>
      </c>
      <c r="C66" s="142">
        <f>C49</f>
        <v>6000000</v>
      </c>
      <c r="D66" s="142">
        <f>D49</f>
        <v>6000000</v>
      </c>
      <c r="E66" s="143">
        <f>E49</f>
        <v>6000000</v>
      </c>
      <c r="K66" s="107" t="s">
        <v>116</v>
      </c>
      <c r="L66" s="153">
        <v>0.25</v>
      </c>
      <c r="S66" s="171"/>
      <c r="T66" s="171"/>
      <c r="U66" s="171"/>
      <c r="V66" s="171"/>
      <c r="W66" s="171"/>
      <c r="X66" s="171"/>
      <c r="Y66" s="171"/>
      <c r="Z66" s="171"/>
      <c r="AA66" s="171"/>
      <c r="AB66" s="171"/>
      <c r="AC66" s="171"/>
    </row>
    <row r="67" spans="2:29" ht="13.8" thickBot="1" x14ac:dyDescent="0.3">
      <c r="B67" s="16" t="s">
        <v>13</v>
      </c>
      <c r="C67" s="142">
        <f t="shared" ref="C67:E68" si="60">C51</f>
        <v>5150000</v>
      </c>
      <c r="D67" s="142">
        <f t="shared" si="60"/>
        <v>5304500</v>
      </c>
      <c r="E67" s="143">
        <f t="shared" si="60"/>
        <v>5463635</v>
      </c>
      <c r="N67" s="107"/>
      <c r="S67" s="171"/>
      <c r="T67" s="171"/>
      <c r="U67" s="171"/>
      <c r="V67" s="171"/>
      <c r="W67" s="171"/>
      <c r="X67" s="171"/>
      <c r="Y67" s="171"/>
      <c r="Z67" s="171"/>
      <c r="AA67" s="171"/>
      <c r="AB67" s="171"/>
      <c r="AC67" s="171"/>
    </row>
    <row r="68" spans="2:29" ht="13.8" thickBot="1" x14ac:dyDescent="0.3">
      <c r="B68" s="16" t="s">
        <v>12</v>
      </c>
      <c r="C68" s="142">
        <f t="shared" si="60"/>
        <v>7200000</v>
      </c>
      <c r="D68" s="142">
        <f t="shared" si="60"/>
        <v>9360000</v>
      </c>
      <c r="E68" s="143">
        <f t="shared" si="60"/>
        <v>12168000</v>
      </c>
      <c r="J68" s="283" t="s">
        <v>121</v>
      </c>
      <c r="K68" s="284"/>
      <c r="L68" s="284"/>
      <c r="M68" s="285"/>
      <c r="N68" s="107"/>
      <c r="S68" s="171"/>
      <c r="T68" s="171"/>
      <c r="U68" s="171"/>
      <c r="V68" s="171"/>
      <c r="W68" s="171"/>
      <c r="X68" s="171"/>
      <c r="Y68" s="171"/>
      <c r="Z68" s="171"/>
      <c r="AA68" s="171"/>
      <c r="AB68" s="171"/>
      <c r="AC68" s="171"/>
    </row>
    <row r="69" spans="2:29" ht="13.8" thickBot="1" x14ac:dyDescent="0.3">
      <c r="B69" s="16" t="s">
        <v>11</v>
      </c>
      <c r="C69" s="142">
        <v>0</v>
      </c>
      <c r="D69" s="142">
        <f>C71</f>
        <v>2381377.324854549</v>
      </c>
      <c r="E69" s="142">
        <f>D71</f>
        <v>2704623.1193790771</v>
      </c>
      <c r="J69" s="104" t="s">
        <v>113</v>
      </c>
      <c r="K69" s="105" t="s">
        <v>114</v>
      </c>
      <c r="L69" s="105" t="s">
        <v>115</v>
      </c>
      <c r="M69" s="154" t="s">
        <v>117</v>
      </c>
      <c r="N69" s="107"/>
    </row>
    <row r="70" spans="2:29" ht="13.8" thickBot="1" x14ac:dyDescent="0.3">
      <c r="B70" s="15" t="s">
        <v>10</v>
      </c>
      <c r="C70" s="142">
        <f>C61+C62+C63</f>
        <v>173840544.71438208</v>
      </c>
      <c r="D70" s="142">
        <f t="shared" ref="D70:E70" si="61">D61+D62+D63</f>
        <v>197437487.71467263</v>
      </c>
      <c r="E70" s="142">
        <f t="shared" si="61"/>
        <v>223241358.65684158</v>
      </c>
      <c r="J70" s="103">
        <v>1</v>
      </c>
      <c r="K70" s="168">
        <f>K63</f>
        <v>-47588074.306940883</v>
      </c>
      <c r="L70" s="156">
        <f>(1+$L$66)^J70</f>
        <v>1.25</v>
      </c>
      <c r="M70" s="152">
        <f>K70/L70</f>
        <v>-38070459.445552707</v>
      </c>
      <c r="N70" s="107"/>
    </row>
    <row r="71" spans="2:29" ht="15" customHeight="1" thickBot="1" x14ac:dyDescent="0.3">
      <c r="B71" s="14" t="s">
        <v>9</v>
      </c>
      <c r="C71" s="142">
        <f>(C70/(360+5))*5</f>
        <v>2381377.324854549</v>
      </c>
      <c r="D71" s="142">
        <f t="shared" ref="D71:E71" si="62">(D70/(360+5))*5</f>
        <v>2704623.1193790771</v>
      </c>
      <c r="E71" s="142">
        <f t="shared" si="62"/>
        <v>3058100.8035183782</v>
      </c>
      <c r="J71" s="102">
        <v>2</v>
      </c>
      <c r="K71" s="155">
        <f>L63</f>
        <v>14609282.714277893</v>
      </c>
      <c r="L71" s="156">
        <f>(1+$L$66)^J71</f>
        <v>1.5625</v>
      </c>
      <c r="M71" s="152">
        <f t="shared" ref="M71:M72" si="63">K71/L71</f>
        <v>9349940.9371378515</v>
      </c>
      <c r="N71" s="107"/>
    </row>
    <row r="72" spans="2:29" ht="13.8" thickBot="1" x14ac:dyDescent="0.3">
      <c r="B72" s="13" t="s">
        <v>8</v>
      </c>
      <c r="C72" s="145">
        <f>C70-C71</f>
        <v>171459167.38952753</v>
      </c>
      <c r="D72" s="145">
        <f t="shared" ref="D72:E72" si="64">D70-D71</f>
        <v>194732864.59529355</v>
      </c>
      <c r="E72" s="145">
        <f t="shared" si="64"/>
        <v>220183257.85332319</v>
      </c>
      <c r="J72" s="101">
        <v>3</v>
      </c>
      <c r="K72" s="157">
        <f>M63</f>
        <v>133604971.09985259</v>
      </c>
      <c r="L72" s="156">
        <f>(1+$L$66)^J72</f>
        <v>1.953125</v>
      </c>
      <c r="M72" s="152">
        <f t="shared" si="63"/>
        <v>68405745.203124523</v>
      </c>
      <c r="N72" s="107"/>
    </row>
    <row r="73" spans="2:29" ht="13.8" thickBot="1" x14ac:dyDescent="0.3">
      <c r="B73" s="186"/>
      <c r="C73" s="86"/>
      <c r="D73" s="86"/>
      <c r="E73" s="86"/>
      <c r="L73" s="6" t="s">
        <v>118</v>
      </c>
      <c r="M73" s="169">
        <f>NPV(L66,K70:K72)</f>
        <v>39685226.694709674</v>
      </c>
      <c r="N73" s="107"/>
    </row>
    <row r="74" spans="2:29" ht="14.25" customHeight="1" x14ac:dyDescent="0.25">
      <c r="B74" s="186"/>
      <c r="C74" s="86"/>
      <c r="D74" s="86"/>
      <c r="E74" s="86"/>
      <c r="N74" s="107"/>
    </row>
    <row r="75" spans="2:29" x14ac:dyDescent="0.25">
      <c r="B75" s="186"/>
      <c r="C75" s="86"/>
      <c r="D75" s="86"/>
      <c r="E75" s="86"/>
      <c r="N75" s="107"/>
    </row>
    <row r="76" spans="2:29" ht="13.8" thickBot="1" x14ac:dyDescent="0.3">
      <c r="B76" s="186"/>
      <c r="C76" s="86"/>
      <c r="D76" s="86"/>
      <c r="E76" s="86"/>
      <c r="N76" s="107"/>
    </row>
    <row r="77" spans="2:29" ht="13.8" thickBot="1" x14ac:dyDescent="0.3">
      <c r="B77" s="186"/>
      <c r="C77" s="86"/>
      <c r="D77" s="86"/>
      <c r="E77" s="86"/>
      <c r="H77" s="8"/>
      <c r="K77" s="158" t="s">
        <v>120</v>
      </c>
      <c r="L77" s="159">
        <f>IRR(K70:K72,L66)</f>
        <v>0.83608220928915333</v>
      </c>
    </row>
    <row r="78" spans="2:29" ht="13.8" thickBot="1" x14ac:dyDescent="0.3">
      <c r="B78" s="184"/>
      <c r="C78" s="175"/>
      <c r="D78" s="175"/>
      <c r="E78" s="175"/>
      <c r="H78" s="8"/>
    </row>
    <row r="79" spans="2:29" ht="13.8" thickBot="1" x14ac:dyDescent="0.3">
      <c r="B79" s="186"/>
      <c r="C79" s="86"/>
      <c r="D79" s="86"/>
      <c r="E79" s="86"/>
      <c r="H79" s="1"/>
      <c r="K79" s="281" t="s">
        <v>122</v>
      </c>
      <c r="L79" s="282"/>
    </row>
    <row r="80" spans="2:29" ht="13.8" thickBot="1" x14ac:dyDescent="0.3">
      <c r="B80" s="186"/>
      <c r="C80" s="86"/>
      <c r="D80" s="86"/>
      <c r="E80" s="86"/>
      <c r="H80" s="1"/>
      <c r="I80" s="8"/>
      <c r="K80" s="160" t="s">
        <v>119</v>
      </c>
      <c r="L80" s="161" t="s">
        <v>118</v>
      </c>
      <c r="Q80" s="146"/>
    </row>
    <row r="81" spans="2:12" ht="13.8" thickBot="1" x14ac:dyDescent="0.3">
      <c r="B81" s="187"/>
      <c r="C81" s="175"/>
      <c r="D81" s="175"/>
      <c r="E81" s="175"/>
      <c r="H81" s="1"/>
      <c r="I81" s="8"/>
      <c r="K81" s="160">
        <v>0</v>
      </c>
      <c r="L81" s="162">
        <v>0</v>
      </c>
    </row>
    <row r="82" spans="2:12" ht="13.8" thickBot="1" x14ac:dyDescent="0.3">
      <c r="B82" s="186"/>
      <c r="C82" s="86"/>
      <c r="D82" s="86"/>
      <c r="E82" s="86"/>
      <c r="H82" s="1"/>
      <c r="I82" s="1"/>
      <c r="K82" s="163">
        <v>0</v>
      </c>
      <c r="L82" s="174">
        <f t="shared" ref="L82:L103" si="65">NPV(K82,$K$70:$K$72)</f>
        <v>100626179.5071896</v>
      </c>
    </row>
    <row r="83" spans="2:12" ht="13.8" thickBot="1" x14ac:dyDescent="0.3">
      <c r="B83" s="188"/>
      <c r="C83" s="175"/>
      <c r="D83" s="175"/>
      <c r="E83" s="175"/>
      <c r="H83" s="1"/>
      <c r="I83" s="1"/>
      <c r="K83" s="164">
        <v>0.05</v>
      </c>
      <c r="L83" s="172">
        <f t="shared" si="65"/>
        <v>83342071.937321708</v>
      </c>
    </row>
    <row r="84" spans="2:12" ht="13.8" thickBot="1" x14ac:dyDescent="0.3">
      <c r="B84" s="1"/>
      <c r="C84" s="1"/>
      <c r="D84" s="1"/>
      <c r="E84" s="1"/>
      <c r="H84" s="1"/>
      <c r="I84" s="1"/>
      <c r="K84" s="181">
        <v>0.1</v>
      </c>
      <c r="L84" s="172">
        <f t="shared" si="65"/>
        <v>69191293.894935966</v>
      </c>
    </row>
    <row r="85" spans="2:12" ht="13.8" thickBot="1" x14ac:dyDescent="0.3">
      <c r="B85" s="294"/>
      <c r="C85" s="294"/>
      <c r="D85" s="294"/>
      <c r="E85" s="294"/>
      <c r="H85" s="1"/>
      <c r="I85" s="1"/>
      <c r="K85" s="164">
        <v>0.15</v>
      </c>
      <c r="L85" s="172">
        <f t="shared" si="65"/>
        <v>57513219.659960799</v>
      </c>
    </row>
    <row r="86" spans="2:12" ht="13.8" thickBot="1" x14ac:dyDescent="0.3">
      <c r="B86" s="295"/>
      <c r="C86" s="295"/>
      <c r="D86" s="295"/>
      <c r="E86" s="295"/>
      <c r="F86" s="178"/>
      <c r="H86" s="1"/>
      <c r="I86" s="1"/>
      <c r="K86" s="164">
        <v>0.2</v>
      </c>
      <c r="L86" s="172">
        <f t="shared" si="65"/>
        <v>47806298.237842135</v>
      </c>
    </row>
    <row r="87" spans="2:12" ht="13.8" thickBot="1" x14ac:dyDescent="0.3">
      <c r="B87" s="183"/>
      <c r="C87" s="178"/>
      <c r="D87" s="178"/>
      <c r="E87" s="178"/>
      <c r="F87" s="54"/>
      <c r="H87" s="1"/>
      <c r="I87" s="1"/>
      <c r="K87" s="167">
        <v>0.25</v>
      </c>
      <c r="L87" s="172">
        <f t="shared" si="65"/>
        <v>39685226.694709674</v>
      </c>
    </row>
    <row r="88" spans="2:12" ht="13.8" thickBot="1" x14ac:dyDescent="0.3">
      <c r="B88" s="188"/>
      <c r="C88" s="54"/>
      <c r="D88" s="54"/>
      <c r="E88" s="54"/>
      <c r="F88" s="2"/>
      <c r="H88" s="1"/>
      <c r="I88" s="1"/>
      <c r="K88" s="164">
        <v>0.3</v>
      </c>
      <c r="L88" s="172">
        <f t="shared" si="65"/>
        <v>32850793.377188779</v>
      </c>
    </row>
    <row r="89" spans="2:12" ht="13.8" thickBot="1" x14ac:dyDescent="0.3">
      <c r="B89" s="185"/>
      <c r="C89" s="2"/>
      <c r="D89" s="2"/>
      <c r="E89" s="2"/>
      <c r="F89" s="2"/>
      <c r="G89" s="1"/>
      <c r="H89" s="1"/>
      <c r="I89" s="1"/>
      <c r="K89" s="164">
        <v>0.35</v>
      </c>
      <c r="L89" s="172">
        <f t="shared" si="65"/>
        <v>27068327.93363937</v>
      </c>
    </row>
    <row r="90" spans="2:12" ht="13.8" thickBot="1" x14ac:dyDescent="0.3">
      <c r="B90" s="186"/>
      <c r="C90" s="2"/>
      <c r="D90" s="2"/>
      <c r="E90" s="2"/>
      <c r="F90" s="2"/>
      <c r="G90" s="1"/>
      <c r="H90" s="1"/>
      <c r="I90" s="1"/>
      <c r="K90" s="164">
        <v>0.4</v>
      </c>
      <c r="L90" s="172">
        <f t="shared" si="65"/>
        <v>22152092.295276068</v>
      </c>
    </row>
    <row r="91" spans="2:12" ht="13.8" thickBot="1" x14ac:dyDescent="0.3">
      <c r="B91" s="185"/>
      <c r="C91" s="2"/>
      <c r="D91" s="2"/>
      <c r="E91" s="2"/>
      <c r="F91" s="2"/>
      <c r="G91" s="1"/>
      <c r="H91" s="1"/>
      <c r="I91" s="1"/>
      <c r="K91" s="164">
        <v>0.45</v>
      </c>
      <c r="L91" s="172">
        <f t="shared" si="65"/>
        <v>17953833.221603945</v>
      </c>
    </row>
    <row r="92" spans="2:12" ht="13.8" thickBot="1" x14ac:dyDescent="0.3">
      <c r="B92" s="186"/>
      <c r="C92" s="2"/>
      <c r="D92" s="2"/>
      <c r="E92" s="2"/>
      <c r="F92" s="2"/>
      <c r="G92" s="1"/>
      <c r="H92" s="1"/>
      <c r="I92" s="1"/>
      <c r="K92" s="164">
        <v>0.5</v>
      </c>
      <c r="L92" s="172">
        <f t="shared" si="65"/>
        <v>14354289.772045171</v>
      </c>
    </row>
    <row r="93" spans="2:12" ht="13.8" thickBot="1" x14ac:dyDescent="0.3">
      <c r="B93" s="185"/>
      <c r="C93" s="2"/>
      <c r="D93" s="2"/>
      <c r="E93" s="2"/>
      <c r="F93" s="2"/>
      <c r="G93" s="1"/>
      <c r="H93" s="1"/>
      <c r="I93" s="1"/>
      <c r="K93" s="164">
        <v>0.55000000000000004</v>
      </c>
      <c r="L93" s="172">
        <f t="shared" si="65"/>
        <v>11256825.426352341</v>
      </c>
    </row>
    <row r="94" spans="2:12" ht="13.8" thickBot="1" x14ac:dyDescent="0.3">
      <c r="B94" s="185"/>
      <c r="C94" s="2"/>
      <c r="D94" s="2"/>
      <c r="E94" s="2"/>
      <c r="F94" s="2"/>
      <c r="G94" s="1"/>
      <c r="H94" s="1"/>
      <c r="I94" s="1"/>
      <c r="K94" s="164">
        <v>0.6</v>
      </c>
      <c r="L94" s="172">
        <f t="shared" si="65"/>
        <v>8582605.7658516895</v>
      </c>
    </row>
    <row r="95" spans="2:12" ht="13.8" thickBot="1" x14ac:dyDescent="0.3">
      <c r="B95" s="185"/>
      <c r="C95" s="2"/>
      <c r="D95" s="2"/>
      <c r="E95" s="2"/>
      <c r="F95" s="2"/>
      <c r="G95" s="1"/>
      <c r="H95" s="1"/>
      <c r="I95" s="1"/>
      <c r="K95" s="164">
        <v>0.65</v>
      </c>
      <c r="L95" s="172">
        <f t="shared" si="65"/>
        <v>6266912.7145314449</v>
      </c>
    </row>
    <row r="96" spans="2:12" ht="13.8" thickBot="1" x14ac:dyDescent="0.3">
      <c r="B96" s="190"/>
      <c r="C96" s="2"/>
      <c r="D96" s="2"/>
      <c r="E96" s="2"/>
      <c r="F96" s="54"/>
      <c r="G96" s="1"/>
      <c r="H96" s="1"/>
      <c r="I96" s="1"/>
      <c r="K96" s="164">
        <v>0.7</v>
      </c>
      <c r="L96" s="172">
        <f t="shared" si="65"/>
        <v>4256303.0667750584</v>
      </c>
    </row>
    <row r="97" spans="2:12" ht="13.2" customHeight="1" thickBot="1" x14ac:dyDescent="0.3">
      <c r="B97" s="188"/>
      <c r="C97" s="54"/>
      <c r="D97" s="54"/>
      <c r="E97" s="54"/>
      <c r="F97" s="2"/>
      <c r="G97" s="1"/>
      <c r="H97" s="1"/>
      <c r="I97" s="1"/>
      <c r="K97" s="164">
        <v>0.75</v>
      </c>
      <c r="L97" s="172">
        <f t="shared" si="65"/>
        <v>2506400.1464410382</v>
      </c>
    </row>
    <row r="98" spans="2:12" ht="13.8" hidden="1" customHeight="1" thickBot="1" x14ac:dyDescent="0.3">
      <c r="B98" s="185"/>
      <c r="C98" s="54"/>
      <c r="D98" s="2"/>
      <c r="E98" s="2"/>
      <c r="F98" s="2"/>
      <c r="G98" s="1"/>
      <c r="H98" s="1"/>
      <c r="I98" s="1"/>
      <c r="K98" s="164">
        <v>0.8</v>
      </c>
      <c r="L98" s="172">
        <f t="shared" si="65"/>
        <v>980164.47720581875</v>
      </c>
    </row>
    <row r="99" spans="2:12" ht="13.8" thickBot="1" x14ac:dyDescent="0.3">
      <c r="B99" s="185"/>
      <c r="C99" s="54"/>
      <c r="D99" s="2"/>
      <c r="E99" s="2"/>
      <c r="F99" s="2"/>
      <c r="G99" s="1"/>
      <c r="H99" s="1"/>
      <c r="I99" s="1"/>
      <c r="K99" s="173">
        <v>0.83599999999999997</v>
      </c>
      <c r="L99" s="172">
        <f t="shared" si="65"/>
        <v>2127.1463286513081</v>
      </c>
    </row>
    <row r="100" spans="2:12" ht="13.8" thickBot="1" x14ac:dyDescent="0.3">
      <c r="B100" s="185"/>
      <c r="C100" s="54"/>
      <c r="D100" s="2"/>
      <c r="E100" s="2"/>
      <c r="F100" s="2"/>
      <c r="G100" s="1"/>
      <c r="H100" s="1"/>
      <c r="I100" s="1"/>
      <c r="K100" s="164">
        <v>0.85</v>
      </c>
      <c r="L100" s="172">
        <f t="shared" si="65"/>
        <v>-353470.1114229777</v>
      </c>
    </row>
    <row r="101" spans="2:12" ht="13.8" thickBot="1" x14ac:dyDescent="0.3">
      <c r="B101" s="186"/>
      <c r="C101" s="54"/>
      <c r="D101" s="2"/>
      <c r="E101" s="2"/>
      <c r="F101" s="2"/>
      <c r="G101" s="1"/>
      <c r="H101" s="1"/>
      <c r="I101" s="1"/>
      <c r="K101" s="164">
        <v>0.9</v>
      </c>
      <c r="L101" s="172">
        <f t="shared" si="65"/>
        <v>-1520679.3980282859</v>
      </c>
    </row>
    <row r="102" spans="2:12" ht="13.8" thickBot="1" x14ac:dyDescent="0.3">
      <c r="B102" s="185"/>
      <c r="C102" s="54"/>
      <c r="D102" s="2"/>
      <c r="E102" s="2"/>
      <c r="F102" s="2"/>
      <c r="G102" s="1"/>
      <c r="H102" s="1"/>
      <c r="I102" s="1"/>
      <c r="K102" s="164">
        <v>0.95</v>
      </c>
      <c r="L102" s="172">
        <f t="shared" si="65"/>
        <v>-2543614.0406208122</v>
      </c>
    </row>
    <row r="103" spans="2:12" ht="13.8" thickBot="1" x14ac:dyDescent="0.3">
      <c r="B103" s="186"/>
      <c r="C103" s="54"/>
      <c r="D103" s="2"/>
      <c r="E103" s="2"/>
      <c r="F103" s="2"/>
      <c r="G103" s="1"/>
      <c r="H103" s="1"/>
      <c r="I103" s="1"/>
      <c r="K103" s="165">
        <v>1</v>
      </c>
      <c r="L103" s="172">
        <f t="shared" si="65"/>
        <v>-3441095.0874193944</v>
      </c>
    </row>
    <row r="104" spans="2:12" x14ac:dyDescent="0.25">
      <c r="B104" s="186"/>
      <c r="C104" s="54"/>
      <c r="D104" s="2"/>
      <c r="E104" s="2"/>
      <c r="F104" s="2"/>
      <c r="G104" s="1"/>
      <c r="H104" s="1"/>
      <c r="I104" s="1"/>
    </row>
    <row r="105" spans="2:12" x14ac:dyDescent="0.25">
      <c r="B105" s="185"/>
      <c r="C105" s="54"/>
      <c r="D105" s="2"/>
      <c r="E105" s="2"/>
      <c r="F105" s="2"/>
      <c r="G105" s="1"/>
      <c r="H105" s="1"/>
      <c r="I105" s="1"/>
    </row>
    <row r="106" spans="2:12" x14ac:dyDescent="0.25">
      <c r="B106" s="185"/>
      <c r="C106" s="54"/>
      <c r="D106" s="2"/>
      <c r="E106" s="2"/>
      <c r="F106" s="2"/>
      <c r="G106" s="1"/>
      <c r="H106" s="1"/>
      <c r="I106" s="1"/>
    </row>
    <row r="107" spans="2:12" x14ac:dyDescent="0.25">
      <c r="B107" s="185"/>
      <c r="C107" s="54"/>
      <c r="D107" s="2"/>
      <c r="E107" s="2"/>
      <c r="F107" s="2"/>
      <c r="G107" s="1"/>
      <c r="H107" s="1"/>
      <c r="I107" s="1"/>
    </row>
    <row r="108" spans="2:12" x14ac:dyDescent="0.25">
      <c r="B108" s="186"/>
      <c r="C108" s="54"/>
      <c r="D108" s="2"/>
      <c r="E108" s="2"/>
      <c r="F108" s="2"/>
      <c r="G108" s="1"/>
      <c r="H108" s="1"/>
      <c r="I108" s="1"/>
    </row>
    <row r="109" spans="2:12" x14ac:dyDescent="0.25">
      <c r="B109" s="185"/>
      <c r="C109" s="54"/>
      <c r="D109" s="2"/>
      <c r="E109" s="2"/>
      <c r="F109" s="2"/>
      <c r="G109" s="1"/>
      <c r="H109" s="1"/>
      <c r="I109" s="1"/>
    </row>
    <row r="110" spans="2:12" x14ac:dyDescent="0.25">
      <c r="B110" s="185"/>
      <c r="C110" s="54"/>
      <c r="D110" s="2"/>
      <c r="E110" s="2"/>
      <c r="F110" s="2"/>
      <c r="G110" s="1"/>
      <c r="H110" s="1"/>
      <c r="I110" s="1"/>
    </row>
    <row r="111" spans="2:12" x14ac:dyDescent="0.25">
      <c r="B111" s="185"/>
      <c r="C111" s="54"/>
      <c r="D111" s="2"/>
      <c r="E111" s="2"/>
      <c r="F111" s="2"/>
      <c r="G111" s="1"/>
      <c r="H111" s="1"/>
      <c r="I111" s="1"/>
    </row>
    <row r="112" spans="2:12" x14ac:dyDescent="0.25">
      <c r="B112" s="185"/>
      <c r="C112" s="54"/>
      <c r="D112" s="2"/>
      <c r="E112" s="2"/>
      <c r="F112" s="2"/>
      <c r="G112" s="1"/>
      <c r="H112" s="1"/>
      <c r="I112" s="1"/>
    </row>
    <row r="113" spans="2:16" x14ac:dyDescent="0.25">
      <c r="B113" s="185"/>
      <c r="C113" s="54"/>
      <c r="D113" s="2"/>
      <c r="E113" s="2"/>
      <c r="F113" s="2"/>
      <c r="H113" s="1"/>
      <c r="I113" s="1"/>
    </row>
    <row r="114" spans="2:16" x14ac:dyDescent="0.25">
      <c r="B114" s="190"/>
      <c r="C114" s="2"/>
      <c r="D114" s="2"/>
      <c r="E114" s="2"/>
      <c r="F114" s="2"/>
      <c r="H114" s="1"/>
      <c r="I114" s="1"/>
    </row>
    <row r="115" spans="2:16" x14ac:dyDescent="0.25">
      <c r="B115" s="185"/>
      <c r="C115" s="2"/>
      <c r="D115" s="2"/>
      <c r="E115" s="2"/>
      <c r="F115" s="2"/>
      <c r="G115" s="3"/>
      <c r="H115" s="1"/>
      <c r="I115" s="1"/>
    </row>
    <row r="116" spans="2:16" x14ac:dyDescent="0.25">
      <c r="B116" s="185"/>
      <c r="C116" s="2"/>
      <c r="D116" s="2"/>
      <c r="E116" s="2"/>
      <c r="F116" s="2"/>
      <c r="H116" s="1"/>
      <c r="I116" s="1"/>
    </row>
    <row r="117" spans="2:16" x14ac:dyDescent="0.25">
      <c r="B117" s="85"/>
      <c r="C117" s="2"/>
      <c r="D117" s="2"/>
      <c r="E117" s="2"/>
      <c r="F117" s="2"/>
      <c r="H117" s="1"/>
      <c r="I117" s="1"/>
    </row>
    <row r="118" spans="2:16" x14ac:dyDescent="0.25">
      <c r="B118" s="189"/>
      <c r="C118" s="2"/>
      <c r="D118" s="2"/>
      <c r="E118" s="2"/>
      <c r="H118" s="1"/>
      <c r="I118" s="1"/>
    </row>
    <row r="119" spans="2:16" x14ac:dyDescent="0.25">
      <c r="B119" s="182"/>
      <c r="C119" s="182"/>
      <c r="D119" s="182"/>
      <c r="E119" s="182"/>
      <c r="H119" s="1"/>
      <c r="I119" s="1"/>
    </row>
    <row r="120" spans="2:16" x14ac:dyDescent="0.25">
      <c r="B120" s="191"/>
      <c r="C120" s="192"/>
      <c r="D120" s="176"/>
      <c r="E120" s="182"/>
      <c r="H120" s="1"/>
      <c r="I120" s="1"/>
    </row>
    <row r="121" spans="2:16" x14ac:dyDescent="0.25">
      <c r="B121" s="193"/>
      <c r="C121" s="194"/>
      <c r="D121" s="194"/>
      <c r="E121" s="194"/>
      <c r="H121" s="1"/>
      <c r="I121" s="1"/>
    </row>
    <row r="122" spans="2:16" x14ac:dyDescent="0.25">
      <c r="B122" s="195"/>
      <c r="C122" s="2"/>
      <c r="D122" s="2"/>
      <c r="E122" s="2"/>
      <c r="H122" s="1"/>
      <c r="I122" s="1"/>
    </row>
    <row r="123" spans="2:16" x14ac:dyDescent="0.25">
      <c r="B123" s="186"/>
      <c r="C123" s="2"/>
      <c r="D123" s="2"/>
      <c r="E123" s="2"/>
      <c r="G123" s="1"/>
      <c r="H123" s="1"/>
      <c r="I123" s="1"/>
    </row>
    <row r="124" spans="2:16" x14ac:dyDescent="0.25">
      <c r="B124" s="185"/>
      <c r="C124" s="2"/>
      <c r="D124" s="2"/>
      <c r="E124" s="2"/>
      <c r="G124" s="1"/>
      <c r="H124" s="1"/>
      <c r="I124" s="1"/>
    </row>
    <row r="125" spans="2:16" x14ac:dyDescent="0.25">
      <c r="B125" s="186"/>
      <c r="C125" s="2"/>
      <c r="D125" s="2"/>
      <c r="E125" s="2"/>
      <c r="H125" s="1"/>
      <c r="I125" s="1"/>
      <c r="P125" s="166"/>
    </row>
    <row r="126" spans="2:16" x14ac:dyDescent="0.25">
      <c r="B126" s="196"/>
      <c r="C126" s="2"/>
      <c r="D126" s="2"/>
      <c r="E126" s="2"/>
      <c r="H126" s="1"/>
      <c r="I126" s="1"/>
    </row>
    <row r="127" spans="2:16" x14ac:dyDescent="0.25">
      <c r="B127" s="195"/>
      <c r="C127" s="2"/>
      <c r="D127" s="2"/>
      <c r="E127" s="2"/>
      <c r="H127" s="1"/>
      <c r="I127" s="1"/>
    </row>
    <row r="128" spans="2:16" x14ac:dyDescent="0.25">
      <c r="B128" s="195"/>
      <c r="C128" s="2"/>
      <c r="D128" s="2"/>
      <c r="E128" s="2"/>
      <c r="H128" s="1"/>
      <c r="I128" s="1"/>
    </row>
    <row r="129" spans="2:31" x14ac:dyDescent="0.25">
      <c r="B129" s="197"/>
      <c r="C129" s="2"/>
      <c r="D129" s="2"/>
      <c r="E129" s="2"/>
      <c r="H129" s="1"/>
      <c r="I129" s="1"/>
    </row>
    <row r="130" spans="2:31" x14ac:dyDescent="0.25">
      <c r="B130" s="198"/>
      <c r="C130" s="2"/>
      <c r="D130" s="2"/>
      <c r="E130" s="2"/>
      <c r="H130" s="1"/>
      <c r="I130" s="1"/>
    </row>
    <row r="131" spans="2:31" x14ac:dyDescent="0.25">
      <c r="B131" s="198"/>
      <c r="C131" s="2"/>
      <c r="D131" s="2"/>
      <c r="E131" s="2"/>
      <c r="H131" s="5"/>
      <c r="I131" s="1"/>
    </row>
    <row r="132" spans="2:31" s="3" customFormat="1" x14ac:dyDescent="0.25">
      <c r="B132" s="198"/>
      <c r="C132" s="2"/>
      <c r="D132" s="2"/>
      <c r="E132" s="2"/>
      <c r="F132"/>
      <c r="G132"/>
      <c r="H132" s="1"/>
      <c r="I132" s="1"/>
      <c r="J132"/>
      <c r="K132" s="75"/>
      <c r="L132" s="75"/>
      <c r="M132" s="75"/>
      <c r="N132" s="75"/>
      <c r="O132" s="75"/>
      <c r="P132" s="75"/>
      <c r="Q132" s="75"/>
      <c r="R132" s="75"/>
      <c r="S132" s="75"/>
      <c r="T132" s="75"/>
      <c r="U132" s="75"/>
      <c r="V132" s="75"/>
      <c r="W132" s="75"/>
      <c r="X132" s="75"/>
      <c r="Y132" s="75"/>
      <c r="Z132" s="75"/>
      <c r="AA132" s="75"/>
      <c r="AB132" s="75"/>
      <c r="AC132" s="75"/>
      <c r="AD132" s="75"/>
      <c r="AE132" s="75"/>
    </row>
    <row r="133" spans="2:31" x14ac:dyDescent="0.25">
      <c r="B133" s="198"/>
      <c r="C133" s="2"/>
      <c r="D133" s="2"/>
      <c r="E133" s="2"/>
      <c r="I133" s="1"/>
      <c r="V133" s="166"/>
    </row>
    <row r="134" spans="2:31" x14ac:dyDescent="0.25">
      <c r="B134" s="196"/>
      <c r="C134" s="2"/>
      <c r="D134" s="2"/>
      <c r="E134" s="2"/>
      <c r="I134" s="1"/>
      <c r="W134" s="166"/>
      <c r="X134" s="166"/>
    </row>
    <row r="135" spans="2:31" x14ac:dyDescent="0.25">
      <c r="B135" s="199"/>
      <c r="C135" s="2"/>
      <c r="D135" s="2"/>
      <c r="E135" s="2"/>
      <c r="H135" s="3"/>
      <c r="I135" s="1"/>
      <c r="T135" s="166"/>
      <c r="Y135" s="166"/>
      <c r="Z135" s="166"/>
      <c r="AA135" s="166"/>
      <c r="AB135" s="166"/>
      <c r="AC135" s="166"/>
      <c r="AD135" s="166"/>
      <c r="AE135" s="166"/>
    </row>
    <row r="136" spans="2:31" x14ac:dyDescent="0.25">
      <c r="B136" s="177"/>
      <c r="C136" s="2"/>
      <c r="D136" s="2"/>
      <c r="E136" s="2"/>
      <c r="I136" s="1"/>
    </row>
    <row r="137" spans="2:31" x14ac:dyDescent="0.25">
      <c r="B137" s="193"/>
      <c r="C137" s="194"/>
      <c r="D137" s="194"/>
      <c r="E137" s="194"/>
      <c r="I137" s="1"/>
      <c r="M137" s="166"/>
      <c r="N137" s="166"/>
      <c r="O137" s="166"/>
      <c r="P137" s="166"/>
    </row>
    <row r="138" spans="2:31" x14ac:dyDescent="0.25">
      <c r="B138" s="200"/>
      <c r="C138" s="201"/>
      <c r="D138" s="201"/>
      <c r="E138" s="201"/>
      <c r="I138" s="4"/>
      <c r="J138" s="3"/>
    </row>
    <row r="139" spans="2:31" x14ac:dyDescent="0.25">
      <c r="B139" s="202"/>
      <c r="C139" s="2"/>
      <c r="D139" s="201"/>
      <c r="E139" s="2"/>
      <c r="I139" s="1"/>
      <c r="L139" s="166"/>
    </row>
    <row r="140" spans="2:31" x14ac:dyDescent="0.25">
      <c r="B140" s="200"/>
      <c r="C140" s="2"/>
      <c r="D140" s="201"/>
      <c r="E140" s="2"/>
      <c r="I140" s="1"/>
      <c r="K140" s="166"/>
      <c r="Q140" s="166"/>
      <c r="R140" s="166"/>
      <c r="S140" s="166"/>
    </row>
    <row r="141" spans="2:31" x14ac:dyDescent="0.25">
      <c r="B141" s="202"/>
      <c r="C141" s="2"/>
      <c r="D141" s="201"/>
      <c r="E141" s="2"/>
      <c r="I141" s="75"/>
      <c r="J141" s="75"/>
      <c r="AD141"/>
      <c r="AE141"/>
    </row>
    <row r="142" spans="2:31" x14ac:dyDescent="0.25">
      <c r="B142" s="200"/>
      <c r="C142" s="2"/>
      <c r="D142" s="201"/>
      <c r="E142" s="2"/>
      <c r="I142" s="75"/>
      <c r="J142" s="75"/>
      <c r="AD142"/>
      <c r="AE142"/>
    </row>
    <row r="143" spans="2:31" x14ac:dyDescent="0.25">
      <c r="B143" s="198"/>
      <c r="C143" s="2"/>
      <c r="D143" s="201"/>
      <c r="E143" s="2"/>
      <c r="I143" s="75"/>
      <c r="J143" s="75"/>
      <c r="AD143"/>
      <c r="AE143"/>
    </row>
    <row r="144" spans="2:31" x14ac:dyDescent="0.25">
      <c r="B144" s="203"/>
      <c r="C144" s="2"/>
      <c r="D144" s="2"/>
      <c r="E144" s="2"/>
      <c r="I144" s="75"/>
      <c r="J144" s="75"/>
      <c r="AD144"/>
      <c r="AE144"/>
    </row>
    <row r="145" spans="2:31" x14ac:dyDescent="0.25">
      <c r="B145" s="54"/>
      <c r="C145" s="2"/>
      <c r="D145" s="2"/>
      <c r="E145" s="2"/>
      <c r="I145" s="75"/>
      <c r="J145" s="75"/>
      <c r="AD145"/>
      <c r="AE145"/>
    </row>
    <row r="146" spans="2:31" x14ac:dyDescent="0.25">
      <c r="B146" s="54"/>
      <c r="C146" s="2"/>
      <c r="D146" s="2"/>
      <c r="E146" s="2"/>
      <c r="I146" s="75"/>
      <c r="J146" s="75"/>
      <c r="AD146"/>
      <c r="AE146"/>
    </row>
    <row r="147" spans="2:31" x14ac:dyDescent="0.25">
      <c r="B147" s="204"/>
      <c r="C147" s="2"/>
      <c r="D147" s="2"/>
      <c r="E147" s="2"/>
      <c r="I147" s="75"/>
      <c r="J147" s="75"/>
      <c r="AD147"/>
      <c r="AE147"/>
    </row>
    <row r="148" spans="2:31" x14ac:dyDescent="0.25">
      <c r="B148" s="200"/>
      <c r="C148" s="2"/>
      <c r="D148" s="2"/>
      <c r="E148" s="2"/>
      <c r="I148" s="75"/>
      <c r="J148" s="75"/>
      <c r="AD148"/>
      <c r="AE148"/>
    </row>
    <row r="149" spans="2:31" x14ac:dyDescent="0.25">
      <c r="B149" s="203"/>
      <c r="C149" s="2"/>
      <c r="D149" s="2"/>
      <c r="E149" s="2"/>
      <c r="I149" s="75"/>
      <c r="J149" s="75"/>
      <c r="AD149"/>
      <c r="AE149"/>
    </row>
    <row r="150" spans="2:31" x14ac:dyDescent="0.25">
      <c r="B150" s="205"/>
      <c r="C150" s="2"/>
      <c r="D150" s="2"/>
      <c r="E150" s="2"/>
      <c r="I150" s="75"/>
      <c r="J150" s="75"/>
      <c r="AD150"/>
      <c r="AE150"/>
    </row>
    <row r="151" spans="2:31" x14ac:dyDescent="0.25">
      <c r="I151" s="75"/>
      <c r="J151" s="75"/>
      <c r="AD151"/>
      <c r="AE151"/>
    </row>
    <row r="152" spans="2:31" x14ac:dyDescent="0.25">
      <c r="I152" s="75"/>
      <c r="J152" s="75"/>
      <c r="AD152"/>
      <c r="AE152"/>
    </row>
    <row r="153" spans="2:31" x14ac:dyDescent="0.25">
      <c r="I153" s="75"/>
      <c r="J153" s="75"/>
      <c r="AD153"/>
      <c r="AE153"/>
    </row>
    <row r="154" spans="2:31" x14ac:dyDescent="0.25">
      <c r="I154" s="75"/>
      <c r="J154" s="75"/>
      <c r="AD154"/>
      <c r="AE154"/>
    </row>
    <row r="155" spans="2:31" x14ac:dyDescent="0.25">
      <c r="I155" s="75"/>
      <c r="J155" s="75"/>
      <c r="AD155"/>
      <c r="AE155"/>
    </row>
    <row r="156" spans="2:31" x14ac:dyDescent="0.25">
      <c r="I156" s="75"/>
      <c r="J156" s="75"/>
      <c r="AD156"/>
      <c r="AE156"/>
    </row>
    <row r="157" spans="2:31" x14ac:dyDescent="0.25">
      <c r="I157" s="75"/>
      <c r="J157" s="75"/>
      <c r="AD157"/>
      <c r="AE157"/>
    </row>
    <row r="158" spans="2:31" x14ac:dyDescent="0.25">
      <c r="I158" s="75"/>
      <c r="J158" s="75"/>
      <c r="AD158"/>
      <c r="AE158"/>
    </row>
    <row r="159" spans="2:31" x14ac:dyDescent="0.25">
      <c r="I159" s="75"/>
      <c r="J159" s="75"/>
      <c r="AD159"/>
      <c r="AE159"/>
    </row>
    <row r="160" spans="2:31" x14ac:dyDescent="0.25">
      <c r="I160" s="75"/>
      <c r="J160" s="75"/>
      <c r="AD160"/>
      <c r="AE160"/>
    </row>
    <row r="161" spans="9:31" x14ac:dyDescent="0.25">
      <c r="I161" s="75"/>
      <c r="J161" s="75"/>
      <c r="AD161"/>
      <c r="AE161"/>
    </row>
    <row r="162" spans="9:31" x14ac:dyDescent="0.25">
      <c r="I162" s="75"/>
      <c r="J162" s="75"/>
      <c r="AD162"/>
      <c r="AE162"/>
    </row>
    <row r="163" spans="9:31" x14ac:dyDescent="0.25">
      <c r="I163" s="75"/>
      <c r="J163" s="75"/>
      <c r="AD163"/>
      <c r="AE163"/>
    </row>
    <row r="164" spans="9:31" x14ac:dyDescent="0.25">
      <c r="I164" s="75"/>
      <c r="J164" s="75"/>
      <c r="AD164"/>
      <c r="AE164"/>
    </row>
    <row r="165" spans="9:31" x14ac:dyDescent="0.25">
      <c r="I165" s="75"/>
      <c r="J165" s="75"/>
      <c r="AD165"/>
      <c r="AE165"/>
    </row>
    <row r="166" spans="9:31" x14ac:dyDescent="0.25">
      <c r="I166" s="75"/>
      <c r="J166" s="75"/>
      <c r="AD166"/>
      <c r="AE166"/>
    </row>
    <row r="167" spans="9:31" x14ac:dyDescent="0.25">
      <c r="I167" s="75"/>
      <c r="J167" s="75"/>
      <c r="AD167"/>
      <c r="AE167"/>
    </row>
    <row r="168" spans="9:31" x14ac:dyDescent="0.25">
      <c r="I168" s="75"/>
      <c r="J168" s="75"/>
      <c r="AD168"/>
      <c r="AE168"/>
    </row>
    <row r="169" spans="9:31" x14ac:dyDescent="0.25">
      <c r="I169" s="75"/>
      <c r="J169" s="75"/>
      <c r="AD169"/>
      <c r="AE169"/>
    </row>
    <row r="170" spans="9:31" x14ac:dyDescent="0.25">
      <c r="I170" s="75"/>
      <c r="J170" s="75"/>
      <c r="AD170"/>
      <c r="AE170"/>
    </row>
    <row r="171" spans="9:31" x14ac:dyDescent="0.25">
      <c r="I171" s="75"/>
      <c r="J171" s="75"/>
      <c r="AD171"/>
      <c r="AE171"/>
    </row>
    <row r="172" spans="9:31" x14ac:dyDescent="0.25">
      <c r="I172" s="75"/>
      <c r="J172" s="75"/>
      <c r="AD172"/>
      <c r="AE172"/>
    </row>
  </sheetData>
  <mergeCells count="28">
    <mergeCell ref="B85:E85"/>
    <mergeCell ref="B86:E86"/>
    <mergeCell ref="Y33:AE33"/>
    <mergeCell ref="B29:E29"/>
    <mergeCell ref="I5:M5"/>
    <mergeCell ref="K33:Q33"/>
    <mergeCell ref="R33:X33"/>
    <mergeCell ref="J32:AE32"/>
    <mergeCell ref="K41:Q41"/>
    <mergeCell ref="R41:X41"/>
    <mergeCell ref="Y41:AE41"/>
    <mergeCell ref="Y49:AE49"/>
    <mergeCell ref="K49:Q49"/>
    <mergeCell ref="R49:X49"/>
    <mergeCell ref="B45:E45"/>
    <mergeCell ref="I51:O51"/>
    <mergeCell ref="K79:L79"/>
    <mergeCell ref="B56:E56"/>
    <mergeCell ref="J59:M59"/>
    <mergeCell ref="J68:M68"/>
    <mergeCell ref="G1:O3"/>
    <mergeCell ref="Y40:AE40"/>
    <mergeCell ref="J40:Q40"/>
    <mergeCell ref="R40:X40"/>
    <mergeCell ref="B36:E36"/>
    <mergeCell ref="B1:C1"/>
    <mergeCell ref="B2:C2"/>
    <mergeCell ref="B3:C3"/>
  </mergeCells>
  <pageMargins left="0.7" right="0.7" top="0.75" bottom="0.75" header="0.3" footer="0.3"/>
  <pageSetup orientation="portrait" r:id="rId1"/>
  <ignoredErrors>
    <ignoredError sqref="C10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workbookViewId="0">
      <selection activeCell="F6" sqref="F6"/>
    </sheetView>
  </sheetViews>
  <sheetFormatPr baseColWidth="10" defaultRowHeight="13.2" x14ac:dyDescent="0.25"/>
  <cols>
    <col min="1" max="1" width="18.109375" bestFit="1" customWidth="1"/>
    <col min="2" max="6" width="14.6640625" style="70" customWidth="1"/>
    <col min="7" max="7" width="11" customWidth="1"/>
    <col min="8" max="8" width="9.44140625" customWidth="1"/>
    <col min="9" max="9" width="14.5546875" style="70" customWidth="1"/>
    <col min="10" max="10" width="16.6640625" style="70" bestFit="1" customWidth="1"/>
    <col min="11" max="11" width="15.5546875" bestFit="1" customWidth="1"/>
  </cols>
  <sheetData>
    <row r="1" spans="1:11" s="69" customFormat="1" ht="26.4" x14ac:dyDescent="0.25">
      <c r="A1" s="69" t="s">
        <v>95</v>
      </c>
      <c r="B1" s="71" t="s">
        <v>96</v>
      </c>
      <c r="C1" s="71" t="s">
        <v>97</v>
      </c>
      <c r="D1" s="71" t="s">
        <v>98</v>
      </c>
      <c r="E1" s="71" t="s">
        <v>99</v>
      </c>
      <c r="F1" s="71" t="s">
        <v>100</v>
      </c>
      <c r="G1" s="69" t="s">
        <v>101</v>
      </c>
      <c r="H1" s="69" t="s">
        <v>102</v>
      </c>
      <c r="I1" s="71" t="s">
        <v>103</v>
      </c>
      <c r="J1" s="71" t="s">
        <v>104</v>
      </c>
      <c r="K1" s="69" t="s">
        <v>105</v>
      </c>
    </row>
    <row r="2" spans="1:11" x14ac:dyDescent="0.25">
      <c r="A2" t="s">
        <v>88</v>
      </c>
      <c r="B2" s="70">
        <v>38640.393518518526</v>
      </c>
      <c r="C2" s="70">
        <v>15595</v>
      </c>
      <c r="D2" s="70">
        <v>4549.8643017746917</v>
      </c>
      <c r="E2" s="70">
        <v>10223.650793650791</v>
      </c>
      <c r="F2" s="70">
        <v>93645.088989122014</v>
      </c>
      <c r="G2" s="72">
        <v>0.61065875000491754</v>
      </c>
      <c r="H2" s="88">
        <f>33.2131750000984*12</f>
        <v>398.55810000118083</v>
      </c>
      <c r="I2" s="70">
        <f>Tabla2[[#This Row],[COSTOS FIJOS]]+Tabla2[[#This Row],[MATERIALES DIRECTOS]]+Tabla2[[#This Row],[MANO DE OBRA]]+Tabla2[[#This Row],[MATERIALES INDIRECTOS]]</f>
        <v>69008.908613944019</v>
      </c>
      <c r="J2" s="70">
        <f>Tabla2[[#This Row],[UNIDADES]]*Tabla2[[#This Row],[PRECIO DE VENTA UNIDAD]]</f>
        <v>37323008.741945967</v>
      </c>
      <c r="K2" s="70">
        <f>Tabla2[[#This Row],[UNIDADES]]*Tabla2[[#This Row],[TOTAL COSTOS]]</f>
        <v>27504059.500328649</v>
      </c>
    </row>
    <row r="3" spans="1:11" x14ac:dyDescent="0.25">
      <c r="A3" t="s">
        <v>89</v>
      </c>
      <c r="B3" s="70">
        <v>47635.069444444445</v>
      </c>
      <c r="C3" s="70">
        <v>17830</v>
      </c>
      <c r="D3" s="70">
        <v>5476.9050154320994</v>
      </c>
      <c r="E3" s="70">
        <v>10223.650793650791</v>
      </c>
      <c r="F3" s="70">
        <v>125406.78162775573</v>
      </c>
      <c r="G3" s="72">
        <v>0.53597088541575255</v>
      </c>
      <c r="H3" s="73">
        <f>10.7194177083151*12</f>
        <v>128.63301249978122</v>
      </c>
      <c r="I3" s="70">
        <f>Tabla2[[#This Row],[COSTOS FIJOS]]+Tabla2[[#This Row],[MATERIALES DIRECTOS]]+Tabla2[[#This Row],[MANO DE OBRA]]+Tabla2[[#This Row],[MATERIALES INDIRECTOS]]</f>
        <v>81165.625253527338</v>
      </c>
      <c r="J3" s="70">
        <f>Tabla2[[#This Row],[UNIDADES]]*Tabla2[[#This Row],[PRECIO DE VENTA UNIDAD]]</f>
        <v>16131452.108680436</v>
      </c>
      <c r="K3" s="70">
        <f>Tabla2[[#This Row],[UNIDADES]]*Tabla2[[#This Row],[TOTAL COSTOS]]</f>
        <v>10440578.88778954</v>
      </c>
    </row>
    <row r="4" spans="1:11" x14ac:dyDescent="0.25">
      <c r="A4" t="s">
        <v>90</v>
      </c>
      <c r="B4" s="70">
        <v>35978.703703703701</v>
      </c>
      <c r="C4" s="70">
        <v>9450</v>
      </c>
      <c r="D4" s="70">
        <v>3723.0290740740738</v>
      </c>
      <c r="E4" s="70">
        <v>13250.952380952382</v>
      </c>
      <c r="F4" s="70">
        <v>92980.000886507929</v>
      </c>
      <c r="G4" s="72">
        <v>0.54057775706888977</v>
      </c>
      <c r="H4" s="73">
        <f>10.8115551413778*12</f>
        <v>129.7386616965336</v>
      </c>
      <c r="I4" s="70">
        <f>Tabla2[[#This Row],[COSTOS FIJOS]]+Tabla2[[#This Row],[MATERIALES DIRECTOS]]+Tabla2[[#This Row],[MANO DE OBRA]]+Tabla2[[#This Row],[MATERIALES INDIRECTOS]]</f>
        <v>62402.685158730157</v>
      </c>
      <c r="J4" s="70">
        <f>Tabla2[[#This Row],[UNIDADES]]*Tabla2[[#This Row],[PRECIO DE VENTA UNIDAD]]</f>
        <v>12063100.879558045</v>
      </c>
      <c r="K4" s="70">
        <f>Tabla2[[#This Row],[UNIDADES]]*Tabla2[[#This Row],[TOTAL COSTOS]]</f>
        <v>8096040.8587637898</v>
      </c>
    </row>
    <row r="5" spans="1:11" x14ac:dyDescent="0.25">
      <c r="A5" t="s">
        <v>91</v>
      </c>
      <c r="B5" s="70">
        <v>32490.972222222223</v>
      </c>
      <c r="C5" s="70">
        <v>10620</v>
      </c>
      <c r="D5" s="70">
        <v>4034.5478333333326</v>
      </c>
      <c r="E5" s="70">
        <v>12283.968253968254</v>
      </c>
      <c r="F5" s="70">
        <v>88549.937581190461</v>
      </c>
      <c r="G5" s="72">
        <v>0.5273530691942393</v>
      </c>
      <c r="H5" s="73">
        <f>10.5470613838848*12</f>
        <v>126.5647366066176</v>
      </c>
      <c r="I5" s="70">
        <f>Tabla2[[#This Row],[COSTOS FIJOS]]+Tabla2[[#This Row],[MATERIALES DIRECTOS]]+Tabla2[[#This Row],[MANO DE OBRA]]+Tabla2[[#This Row],[MATERIALES INDIRECTOS]]</f>
        <v>59429.488309523804</v>
      </c>
      <c r="J5" s="70">
        <f>Tabla2[[#This Row],[UNIDADES]]*Tabla2[[#This Row],[PRECIO DE VENTA UNIDAD]]</f>
        <v>11207299.526495799</v>
      </c>
      <c r="K5" s="70">
        <f>Tabla2[[#This Row],[UNIDADES]]*Tabla2[[#This Row],[TOTAL COSTOS]]</f>
        <v>7521677.5345609402</v>
      </c>
    </row>
    <row r="6" spans="1:11" x14ac:dyDescent="0.25">
      <c r="A6" t="s">
        <v>92</v>
      </c>
      <c r="B6" s="70">
        <v>44789.81481481481</v>
      </c>
      <c r="C6" s="70">
        <v>14000</v>
      </c>
      <c r="D6" s="70">
        <v>5695.8681273333341</v>
      </c>
      <c r="E6" s="70">
        <v>12283.968253968254</v>
      </c>
      <c r="F6" s="70">
        <v>114386.78028221345</v>
      </c>
      <c r="G6" s="72">
        <v>0.54351991100011166</v>
      </c>
      <c r="H6" s="73">
        <f>10.8703982200022*12</f>
        <v>130.44477864002639</v>
      </c>
      <c r="I6" s="70">
        <f>Tabla2[[#This Row],[COSTOS FIJOS]]+Tabla2[[#This Row],[MATERIALES DIRECTOS]]+Tabla2[[#This Row],[MANO DE OBRA]]+Tabla2[[#This Row],[MATERIALES INDIRECTOS]]</f>
        <v>76769.651196116407</v>
      </c>
      <c r="J6" s="70">
        <f>Tabla2[[#This Row],[UNIDADES]]*Tabla2[[#This Row],[PRECIO DE VENTA UNIDAD]]</f>
        <v>14921158.233258668</v>
      </c>
      <c r="K6" s="70">
        <f>Tabla2[[#This Row],[UNIDADES]]*Tabla2[[#This Row],[TOTAL COSTOS]]</f>
        <v>10014200.156549441</v>
      </c>
    </row>
    <row r="7" spans="1:11" x14ac:dyDescent="0.25">
      <c r="A7" t="s">
        <v>93</v>
      </c>
      <c r="B7" s="70">
        <v>44606.25</v>
      </c>
      <c r="C7" s="70">
        <v>18040</v>
      </c>
      <c r="D7" s="70">
        <v>18066.399588477369</v>
      </c>
      <c r="E7" s="70">
        <v>10536.666666666666</v>
      </c>
      <c r="F7" s="70">
        <v>128029.64557201647</v>
      </c>
      <c r="G7" s="72">
        <v>0.54807869275754872</v>
      </c>
      <c r="H7" s="73">
        <f>10.961573855151*12</f>
        <v>131.538886261812</v>
      </c>
      <c r="I7" s="70">
        <f>Tabla2[[#This Row],[COSTOS FIJOS]]+Tabla2[[#This Row],[MATERIALES DIRECTOS]]+Tabla2[[#This Row],[MANO DE OBRA]]+Tabla2[[#This Row],[MATERIALES INDIRECTOS]]</f>
        <v>91249.316255144033</v>
      </c>
      <c r="J7" s="70">
        <f>Tabla2[[#This Row],[UNIDADES]]*Tabla2[[#This Row],[PRECIO DE VENTA UNIDAD]]</f>
        <v>16840876.987037577</v>
      </c>
      <c r="K7" s="70">
        <f>Tabla2[[#This Row],[UNIDADES]]*Tabla2[[#This Row],[TOTAL COSTOS]]</f>
        <v>12002833.432353504</v>
      </c>
    </row>
    <row r="8" spans="1:11" x14ac:dyDescent="0.25">
      <c r="A8" t="s">
        <v>94</v>
      </c>
      <c r="B8" s="70">
        <v>44606.25</v>
      </c>
      <c r="C8" s="70">
        <v>18610</v>
      </c>
      <c r="D8" s="70">
        <v>5128.6625000000004</v>
      </c>
      <c r="E8" s="70">
        <v>10223.650793650791</v>
      </c>
      <c r="F8" s="70">
        <v>121537.15930753968</v>
      </c>
      <c r="G8" s="72">
        <v>0.52741745450739286</v>
      </c>
      <c r="H8" s="73">
        <f>10.5483490901479*12</f>
        <v>126.58018908177479</v>
      </c>
      <c r="I8" s="70">
        <f>Tabla2[[#This Row],[COSTOS FIJOS]]+Tabla2[[#This Row],[MATERIALES DIRECTOS]]+Tabla2[[#This Row],[MANO DE OBRA]]+Tabla2[[#This Row],[MATERIALES INDIRECTOS]]</f>
        <v>78568.563293650805</v>
      </c>
      <c r="J8" s="70">
        <f>Tabla2[[#This Row],[UNIDADES]]*Tabla2[[#This Row],[PRECIO DE VENTA UNIDAD]]</f>
        <v>15384196.605610158</v>
      </c>
      <c r="K8" s="70">
        <f>Tabla2[[#This Row],[UNIDADES]]*Tabla2[[#This Row],[TOTAL COSTOS]]</f>
        <v>9945223.5975937098</v>
      </c>
    </row>
    <row r="9" spans="1:11" x14ac:dyDescent="0.25">
      <c r="B9" s="70">
        <f>SUBTOTAL(109,B2:B8)</f>
        <v>288747.45370370371</v>
      </c>
      <c r="C9" s="70">
        <f t="shared" ref="C9:K9" si="0">SUBTOTAL(109,C2:C8)</f>
        <v>104145</v>
      </c>
      <c r="D9" s="70">
        <f t="shared" si="0"/>
        <v>46675.276440424903</v>
      </c>
      <c r="E9" s="70">
        <f t="shared" si="0"/>
        <v>79026.507936507929</v>
      </c>
      <c r="F9" s="70">
        <f t="shared" si="0"/>
        <v>764535.39424634574</v>
      </c>
      <c r="G9" s="70"/>
      <c r="H9" s="74">
        <f t="shared" si="0"/>
        <v>1172.0583647877263</v>
      </c>
      <c r="I9" s="70">
        <f>SUBTOTAL(109,I2:I8)</f>
        <v>518594.23808063654</v>
      </c>
      <c r="J9" s="70">
        <f t="shared" si="0"/>
        <v>123871093.08258665</v>
      </c>
      <c r="K9" s="70">
        <f t="shared" si="0"/>
        <v>85524613.967939571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2"/>
  <sheetViews>
    <sheetView topLeftCell="C3" workbookViewId="0">
      <selection activeCell="D14" sqref="D14"/>
    </sheetView>
  </sheetViews>
  <sheetFormatPr baseColWidth="10" defaultRowHeight="12.6" x14ac:dyDescent="0.25"/>
  <cols>
    <col min="1" max="1" width="48" style="208" hidden="1" customWidth="1"/>
    <col min="2" max="2" width="15" style="208" hidden="1" customWidth="1"/>
    <col min="3" max="3" width="11.5546875" style="208"/>
    <col min="4" max="4" width="42.6640625" style="208" bestFit="1" customWidth="1"/>
    <col min="5" max="5" width="29.109375" style="208" customWidth="1"/>
    <col min="6" max="16384" width="11.5546875" style="208"/>
  </cols>
  <sheetData>
    <row r="1" spans="1:5" x14ac:dyDescent="0.25">
      <c r="A1" s="299" t="s">
        <v>426</v>
      </c>
      <c r="B1" s="300"/>
      <c r="D1" s="299" t="s">
        <v>426</v>
      </c>
      <c r="E1" s="300"/>
    </row>
    <row r="2" spans="1:5" x14ac:dyDescent="0.25">
      <c r="A2" s="299" t="s">
        <v>425</v>
      </c>
      <c r="B2" s="300"/>
      <c r="D2" s="299" t="s">
        <v>425</v>
      </c>
      <c r="E2" s="300"/>
    </row>
    <row r="3" spans="1:5" x14ac:dyDescent="0.25">
      <c r="A3" s="299" t="s">
        <v>424</v>
      </c>
      <c r="B3" s="300"/>
      <c r="D3" s="299" t="s">
        <v>424</v>
      </c>
      <c r="E3" s="300"/>
    </row>
    <row r="4" spans="1:5" x14ac:dyDescent="0.25">
      <c r="A4" s="299" t="s">
        <v>423</v>
      </c>
      <c r="B4" s="300"/>
      <c r="D4" s="299" t="s">
        <v>423</v>
      </c>
      <c r="E4" s="300"/>
    </row>
    <row r="5" spans="1:5" x14ac:dyDescent="0.25">
      <c r="A5" s="300"/>
      <c r="B5" s="300"/>
    </row>
    <row r="6" spans="1:5" ht="13.2" x14ac:dyDescent="0.25">
      <c r="A6" s="214" t="s">
        <v>21</v>
      </c>
      <c r="B6"/>
      <c r="D6" s="215" t="s">
        <v>21</v>
      </c>
    </row>
    <row r="7" spans="1:5" ht="13.2" x14ac:dyDescent="0.25">
      <c r="A7"/>
      <c r="B7" t="s">
        <v>21</v>
      </c>
      <c r="D7" s="217"/>
      <c r="E7" s="231" t="s">
        <v>21</v>
      </c>
    </row>
    <row r="8" spans="1:5" ht="13.2" x14ac:dyDescent="0.25">
      <c r="A8" s="215" t="s">
        <v>422</v>
      </c>
      <c r="B8" s="216"/>
      <c r="D8" s="232" t="s">
        <v>422</v>
      </c>
      <c r="E8" s="309"/>
    </row>
    <row r="9" spans="1:5" ht="13.2" x14ac:dyDescent="0.25">
      <c r="A9" s="217" t="s">
        <v>421</v>
      </c>
      <c r="B9" s="216"/>
      <c r="D9" s="232" t="s">
        <v>421</v>
      </c>
      <c r="E9" s="310"/>
    </row>
    <row r="10" spans="1:5" ht="13.2" x14ac:dyDescent="0.25">
      <c r="A10" s="232" t="s">
        <v>420</v>
      </c>
      <c r="B10" s="216">
        <v>10178980.5616</v>
      </c>
      <c r="D10" s="232" t="s">
        <v>420</v>
      </c>
      <c r="E10" s="310">
        <v>10178980.5616</v>
      </c>
    </row>
    <row r="11" spans="1:5" ht="13.2" x14ac:dyDescent="0.25">
      <c r="A11" s="232" t="s">
        <v>411</v>
      </c>
      <c r="B11" s="216">
        <v>3101187.2521600001</v>
      </c>
      <c r="D11" s="217" t="s">
        <v>411</v>
      </c>
      <c r="E11" s="310">
        <v>3101187.2521600001</v>
      </c>
    </row>
    <row r="12" spans="1:5" ht="13.2" x14ac:dyDescent="0.25">
      <c r="A12" s="232" t="s">
        <v>403</v>
      </c>
      <c r="B12" s="216">
        <v>11811634.7896</v>
      </c>
      <c r="D12" s="217" t="s">
        <v>403</v>
      </c>
      <c r="E12" s="309">
        <v>11811634.7896</v>
      </c>
    </row>
    <row r="13" spans="1:5" ht="13.2" x14ac:dyDescent="0.25">
      <c r="A13" s="217" t="s">
        <v>516</v>
      </c>
      <c r="B13" s="216">
        <v>25091802.603359997</v>
      </c>
      <c r="D13" s="217" t="s">
        <v>516</v>
      </c>
      <c r="E13" s="309">
        <v>25091802.603359997</v>
      </c>
    </row>
    <row r="14" spans="1:5" ht="13.2" x14ac:dyDescent="0.25">
      <c r="A14" s="217" t="s">
        <v>398</v>
      </c>
      <c r="B14" s="216">
        <v>39019901.496639997</v>
      </c>
      <c r="D14" s="217" t="s">
        <v>398</v>
      </c>
      <c r="E14" s="309">
        <v>39019901.496639997</v>
      </c>
    </row>
    <row r="15" spans="1:5" ht="13.2" x14ac:dyDescent="0.25">
      <c r="A15" s="217" t="s">
        <v>358</v>
      </c>
      <c r="B15" s="216">
        <v>2613393.79</v>
      </c>
      <c r="D15" s="217" t="s">
        <v>358</v>
      </c>
      <c r="E15" s="309">
        <v>2613393.79</v>
      </c>
    </row>
    <row r="16" spans="1:5" ht="13.2" x14ac:dyDescent="0.25">
      <c r="A16" s="217" t="s">
        <v>351</v>
      </c>
      <c r="B16" s="216">
        <v>81667287</v>
      </c>
      <c r="D16" s="217" t="s">
        <v>351</v>
      </c>
      <c r="E16" s="309">
        <v>81667287</v>
      </c>
    </row>
    <row r="17" spans="1:5" ht="13.2" x14ac:dyDescent="0.25">
      <c r="A17" s="217" t="s">
        <v>324</v>
      </c>
      <c r="B17" s="216">
        <v>4917307</v>
      </c>
      <c r="D17" s="215" t="s">
        <v>324</v>
      </c>
      <c r="E17" s="309">
        <v>4917307</v>
      </c>
    </row>
    <row r="18" spans="1:5" ht="13.2" x14ac:dyDescent="0.25">
      <c r="A18" s="217" t="s">
        <v>313</v>
      </c>
      <c r="B18" s="216">
        <v>151803</v>
      </c>
      <c r="D18" s="215" t="s">
        <v>313</v>
      </c>
      <c r="E18" s="231">
        <v>151803</v>
      </c>
    </row>
    <row r="19" spans="1:5" ht="13.2" x14ac:dyDescent="0.25">
      <c r="A19" s="215" t="s">
        <v>304</v>
      </c>
      <c r="B19" s="216">
        <v>153461494.88999999</v>
      </c>
      <c r="D19" s="217" t="s">
        <v>304</v>
      </c>
      <c r="E19" s="231">
        <v>153461494.88999999</v>
      </c>
    </row>
    <row r="20" spans="1:5" ht="13.2" x14ac:dyDescent="0.25">
      <c r="A20" s="215" t="s">
        <v>303</v>
      </c>
      <c r="B20" s="216"/>
      <c r="D20" s="217" t="s">
        <v>303</v>
      </c>
      <c r="E20" s="309"/>
    </row>
    <row r="21" spans="1:5" ht="13.2" x14ac:dyDescent="0.25">
      <c r="A21" s="217" t="s">
        <v>302</v>
      </c>
      <c r="B21" s="216">
        <v>286647</v>
      </c>
      <c r="D21" s="217" t="s">
        <v>302</v>
      </c>
      <c r="E21" s="309">
        <v>286647</v>
      </c>
    </row>
    <row r="22" spans="1:5" ht="13.2" x14ac:dyDescent="0.25">
      <c r="A22" s="217" t="s">
        <v>226</v>
      </c>
      <c r="B22" s="216">
        <v>-2031692.5799999982</v>
      </c>
      <c r="D22" s="217" t="s">
        <v>226</v>
      </c>
      <c r="E22" s="309">
        <v>-2031692.5799999982</v>
      </c>
    </row>
    <row r="23" spans="1:5" ht="13.2" x14ac:dyDescent="0.25">
      <c r="A23" s="217" t="s">
        <v>187</v>
      </c>
      <c r="B23" s="216">
        <v>7255585</v>
      </c>
      <c r="D23" s="217" t="s">
        <v>187</v>
      </c>
      <c r="E23" s="309">
        <v>7255585</v>
      </c>
    </row>
    <row r="24" spans="1:5" ht="13.2" x14ac:dyDescent="0.25">
      <c r="A24" s="217" t="s">
        <v>169</v>
      </c>
      <c r="B24" s="216">
        <v>2012389</v>
      </c>
      <c r="D24" s="215" t="s">
        <v>169</v>
      </c>
      <c r="E24" s="309">
        <v>2012389</v>
      </c>
    </row>
    <row r="25" spans="1:5" ht="13.2" x14ac:dyDescent="0.25">
      <c r="A25" s="217" t="s">
        <v>155</v>
      </c>
      <c r="B25" s="216">
        <v>33239792</v>
      </c>
      <c r="D25" s="215" t="s">
        <v>155</v>
      </c>
      <c r="E25" s="231">
        <v>33239792</v>
      </c>
    </row>
    <row r="26" spans="1:5" ht="13.2" x14ac:dyDescent="0.25">
      <c r="A26" s="215" t="s">
        <v>150</v>
      </c>
      <c r="B26" s="216">
        <v>40762720.420000002</v>
      </c>
      <c r="D26" s="217" t="s">
        <v>150</v>
      </c>
      <c r="E26" s="231">
        <v>40762720.420000002</v>
      </c>
    </row>
    <row r="27" spans="1:5" ht="13.2" x14ac:dyDescent="0.25">
      <c r="A27" s="215" t="s">
        <v>149</v>
      </c>
      <c r="B27" s="216"/>
      <c r="D27" s="217" t="s">
        <v>149</v>
      </c>
      <c r="E27" s="309"/>
    </row>
    <row r="28" spans="1:5" ht="13.2" x14ac:dyDescent="0.25">
      <c r="A28" s="217" t="s">
        <v>148</v>
      </c>
      <c r="B28" s="216">
        <v>10000000</v>
      </c>
      <c r="D28" s="217" t="s">
        <v>148</v>
      </c>
      <c r="E28" s="309">
        <v>10000000</v>
      </c>
    </row>
    <row r="29" spans="1:5" ht="13.2" x14ac:dyDescent="0.25">
      <c r="A29" s="217" t="s">
        <v>140</v>
      </c>
      <c r="B29" s="216">
        <v>53925577.040689997</v>
      </c>
      <c r="D29" s="215" t="s">
        <v>140</v>
      </c>
      <c r="E29" s="309">
        <v>53925577.040689997</v>
      </c>
    </row>
    <row r="30" spans="1:5" ht="13.2" x14ac:dyDescent="0.25">
      <c r="A30" s="217" t="s">
        <v>135</v>
      </c>
      <c r="B30" s="216">
        <v>48773198.248965003</v>
      </c>
      <c r="D30" s="215" t="s">
        <v>135</v>
      </c>
      <c r="E30" s="231">
        <v>48773198.248965003</v>
      </c>
    </row>
    <row r="31" spans="1:5" ht="13.2" x14ac:dyDescent="0.25">
      <c r="A31" s="215" t="s">
        <v>126</v>
      </c>
      <c r="B31" s="216">
        <v>112698775.289655</v>
      </c>
      <c r="D31" t="s">
        <v>126</v>
      </c>
      <c r="E31" s="311">
        <v>112698775.289655</v>
      </c>
    </row>
    <row r="32" spans="1:5" ht="13.2" x14ac:dyDescent="0.25">
      <c r="A32" s="215" t="s">
        <v>125</v>
      </c>
      <c r="B32" s="216">
        <v>306922990.59965503</v>
      </c>
      <c r="D32" s="215" t="s">
        <v>125</v>
      </c>
      <c r="E32" s="231">
        <v>306922990.59965503</v>
      </c>
    </row>
    <row r="33" spans="1:2" ht="13.2" x14ac:dyDescent="0.25">
      <c r="A33"/>
      <c r="B33"/>
    </row>
    <row r="34" spans="1:2" ht="13.2" x14ac:dyDescent="0.25">
      <c r="A34"/>
      <c r="B34"/>
    </row>
    <row r="35" spans="1:2" ht="13.2" x14ac:dyDescent="0.25">
      <c r="A35"/>
      <c r="B35"/>
    </row>
    <row r="36" spans="1:2" ht="13.2" x14ac:dyDescent="0.25">
      <c r="A36"/>
      <c r="B36"/>
    </row>
    <row r="37" spans="1:2" ht="13.2" x14ac:dyDescent="0.25">
      <c r="A37"/>
      <c r="B37"/>
    </row>
    <row r="38" spans="1:2" ht="13.2" x14ac:dyDescent="0.25">
      <c r="A38"/>
      <c r="B38"/>
    </row>
    <row r="39" spans="1:2" ht="13.2" x14ac:dyDescent="0.25">
      <c r="A39"/>
      <c r="B39"/>
    </row>
    <row r="40" spans="1:2" ht="13.2" x14ac:dyDescent="0.25">
      <c r="A40"/>
      <c r="B40"/>
    </row>
    <row r="41" spans="1:2" ht="13.2" x14ac:dyDescent="0.25">
      <c r="A41"/>
      <c r="B41"/>
    </row>
    <row r="42" spans="1:2" ht="13.2" x14ac:dyDescent="0.25">
      <c r="A42"/>
      <c r="B42"/>
    </row>
    <row r="43" spans="1:2" ht="13.2" x14ac:dyDescent="0.25">
      <c r="A43"/>
      <c r="B43"/>
    </row>
    <row r="44" spans="1:2" ht="13.2" x14ac:dyDescent="0.25">
      <c r="A44"/>
      <c r="B44"/>
    </row>
    <row r="45" spans="1:2" ht="13.2" x14ac:dyDescent="0.25">
      <c r="A45"/>
      <c r="B45"/>
    </row>
    <row r="46" spans="1:2" ht="13.2" x14ac:dyDescent="0.25">
      <c r="A46"/>
      <c r="B46"/>
    </row>
    <row r="47" spans="1:2" ht="13.2" x14ac:dyDescent="0.25">
      <c r="A47"/>
      <c r="B47"/>
    </row>
    <row r="48" spans="1:2" ht="13.2" x14ac:dyDescent="0.25">
      <c r="A48"/>
      <c r="B48"/>
    </row>
    <row r="49" spans="1:2" ht="13.2" x14ac:dyDescent="0.25">
      <c r="A49"/>
      <c r="B49"/>
    </row>
    <row r="50" spans="1:2" ht="13.2" x14ac:dyDescent="0.25">
      <c r="A50"/>
      <c r="B50"/>
    </row>
    <row r="51" spans="1:2" ht="13.2" x14ac:dyDescent="0.25">
      <c r="A51"/>
      <c r="B51"/>
    </row>
    <row r="52" spans="1:2" ht="13.2" x14ac:dyDescent="0.25">
      <c r="A52"/>
      <c r="B52"/>
    </row>
    <row r="53" spans="1:2" ht="13.2" x14ac:dyDescent="0.25">
      <c r="A53"/>
      <c r="B53"/>
    </row>
    <row r="54" spans="1:2" ht="13.2" x14ac:dyDescent="0.25">
      <c r="A54"/>
      <c r="B54"/>
    </row>
    <row r="55" spans="1:2" ht="13.2" x14ac:dyDescent="0.25">
      <c r="A55"/>
      <c r="B55"/>
    </row>
    <row r="56" spans="1:2" ht="13.2" x14ac:dyDescent="0.25">
      <c r="A56"/>
      <c r="B56"/>
    </row>
    <row r="57" spans="1:2" ht="13.2" x14ac:dyDescent="0.25">
      <c r="A57"/>
      <c r="B57"/>
    </row>
    <row r="58" spans="1:2" ht="13.2" x14ac:dyDescent="0.25">
      <c r="A58"/>
      <c r="B58"/>
    </row>
    <row r="59" spans="1:2" ht="13.2" x14ac:dyDescent="0.25">
      <c r="A59"/>
      <c r="B59"/>
    </row>
    <row r="60" spans="1:2" ht="13.2" x14ac:dyDescent="0.25">
      <c r="A60"/>
      <c r="B60"/>
    </row>
    <row r="61" spans="1:2" ht="13.2" x14ac:dyDescent="0.25">
      <c r="A61"/>
      <c r="B61"/>
    </row>
    <row r="62" spans="1:2" ht="13.2" x14ac:dyDescent="0.25">
      <c r="A62"/>
      <c r="B62"/>
    </row>
    <row r="63" spans="1:2" ht="13.2" x14ac:dyDescent="0.25">
      <c r="A63"/>
      <c r="B63"/>
    </row>
    <row r="64" spans="1:2" ht="13.2" x14ac:dyDescent="0.25">
      <c r="A64"/>
      <c r="B64"/>
    </row>
    <row r="65" spans="1:2" ht="13.2" x14ac:dyDescent="0.25">
      <c r="A65"/>
      <c r="B65"/>
    </row>
    <row r="66" spans="1:2" ht="13.2" x14ac:dyDescent="0.25">
      <c r="A66"/>
      <c r="B66"/>
    </row>
    <row r="67" spans="1:2" ht="13.2" x14ac:dyDescent="0.25">
      <c r="A67"/>
      <c r="B67"/>
    </row>
    <row r="68" spans="1:2" ht="13.2" x14ac:dyDescent="0.25">
      <c r="A68"/>
      <c r="B68"/>
    </row>
    <row r="69" spans="1:2" ht="13.2" x14ac:dyDescent="0.25">
      <c r="A69"/>
      <c r="B69"/>
    </row>
    <row r="70" spans="1:2" ht="13.2" x14ac:dyDescent="0.25">
      <c r="A70"/>
      <c r="B70"/>
    </row>
    <row r="71" spans="1:2" ht="13.2" x14ac:dyDescent="0.25">
      <c r="A71"/>
      <c r="B71"/>
    </row>
    <row r="72" spans="1:2" ht="13.2" x14ac:dyDescent="0.25">
      <c r="A72"/>
      <c r="B72"/>
    </row>
    <row r="73" spans="1:2" ht="13.2" x14ac:dyDescent="0.25">
      <c r="A73"/>
      <c r="B73"/>
    </row>
    <row r="74" spans="1:2" ht="13.2" x14ac:dyDescent="0.25">
      <c r="A74"/>
      <c r="B74"/>
    </row>
    <row r="75" spans="1:2" ht="13.2" x14ac:dyDescent="0.25">
      <c r="A75"/>
      <c r="B75"/>
    </row>
    <row r="76" spans="1:2" ht="13.2" x14ac:dyDescent="0.25">
      <c r="A76"/>
      <c r="B76"/>
    </row>
    <row r="77" spans="1:2" ht="13.2" x14ac:dyDescent="0.25">
      <c r="A77"/>
      <c r="B77"/>
    </row>
    <row r="78" spans="1:2" ht="13.2" x14ac:dyDescent="0.25">
      <c r="A78"/>
      <c r="B78"/>
    </row>
    <row r="79" spans="1:2" ht="13.2" x14ac:dyDescent="0.25">
      <c r="A79"/>
      <c r="B79"/>
    </row>
    <row r="80" spans="1:2" ht="13.2" x14ac:dyDescent="0.25">
      <c r="A80"/>
      <c r="B80"/>
    </row>
    <row r="81" spans="1:2" ht="13.2" x14ac:dyDescent="0.25">
      <c r="A81"/>
      <c r="B81"/>
    </row>
    <row r="82" spans="1:2" ht="13.2" x14ac:dyDescent="0.25">
      <c r="A82"/>
      <c r="B82"/>
    </row>
    <row r="83" spans="1:2" ht="13.2" x14ac:dyDescent="0.25">
      <c r="A83"/>
      <c r="B83"/>
    </row>
    <row r="84" spans="1:2" ht="13.2" x14ac:dyDescent="0.25">
      <c r="A84"/>
      <c r="B84"/>
    </row>
    <row r="85" spans="1:2" ht="13.2" x14ac:dyDescent="0.25">
      <c r="A85"/>
      <c r="B85"/>
    </row>
    <row r="86" spans="1:2" ht="13.2" x14ac:dyDescent="0.25">
      <c r="A86"/>
      <c r="B86"/>
    </row>
    <row r="87" spans="1:2" ht="13.2" x14ac:dyDescent="0.25">
      <c r="A87"/>
      <c r="B87"/>
    </row>
    <row r="88" spans="1:2" ht="13.2" x14ac:dyDescent="0.25">
      <c r="A88"/>
      <c r="B88"/>
    </row>
    <row r="89" spans="1:2" ht="13.2" x14ac:dyDescent="0.25">
      <c r="A89"/>
      <c r="B89"/>
    </row>
    <row r="90" spans="1:2" ht="13.2" x14ac:dyDescent="0.25">
      <c r="A90"/>
      <c r="B90"/>
    </row>
    <row r="91" spans="1:2" ht="13.2" x14ac:dyDescent="0.25">
      <c r="A91"/>
      <c r="B91"/>
    </row>
    <row r="92" spans="1:2" ht="13.2" x14ac:dyDescent="0.25">
      <c r="A92"/>
      <c r="B92"/>
    </row>
    <row r="93" spans="1:2" ht="13.2" x14ac:dyDescent="0.25">
      <c r="A93"/>
      <c r="B93"/>
    </row>
    <row r="94" spans="1:2" ht="13.2" x14ac:dyDescent="0.25">
      <c r="A94"/>
      <c r="B94"/>
    </row>
    <row r="95" spans="1:2" ht="13.2" x14ac:dyDescent="0.25">
      <c r="A95"/>
      <c r="B95"/>
    </row>
    <row r="96" spans="1:2" ht="13.2" x14ac:dyDescent="0.25">
      <c r="A96"/>
      <c r="B96"/>
    </row>
    <row r="97" spans="1:2" ht="13.2" x14ac:dyDescent="0.25">
      <c r="A97"/>
      <c r="B97"/>
    </row>
    <row r="98" spans="1:2" ht="13.2" x14ac:dyDescent="0.25">
      <c r="A98"/>
      <c r="B98"/>
    </row>
    <row r="99" spans="1:2" ht="13.2" x14ac:dyDescent="0.25">
      <c r="A99"/>
      <c r="B99"/>
    </row>
    <row r="100" spans="1:2" ht="13.2" x14ac:dyDescent="0.25">
      <c r="A100"/>
      <c r="B100"/>
    </row>
    <row r="101" spans="1:2" ht="13.2" x14ac:dyDescent="0.25">
      <c r="A101"/>
      <c r="B101"/>
    </row>
    <row r="102" spans="1:2" ht="13.2" x14ac:dyDescent="0.25">
      <c r="A102"/>
      <c r="B102"/>
    </row>
    <row r="103" spans="1:2" ht="13.2" x14ac:dyDescent="0.25">
      <c r="A103"/>
      <c r="B103"/>
    </row>
    <row r="104" spans="1:2" ht="13.2" x14ac:dyDescent="0.25">
      <c r="A104"/>
      <c r="B104"/>
    </row>
    <row r="105" spans="1:2" ht="13.2" x14ac:dyDescent="0.25">
      <c r="A105"/>
      <c r="B105"/>
    </row>
    <row r="106" spans="1:2" ht="13.2" x14ac:dyDescent="0.25">
      <c r="A106"/>
      <c r="B106"/>
    </row>
    <row r="107" spans="1:2" ht="13.2" x14ac:dyDescent="0.25">
      <c r="A107"/>
      <c r="B107"/>
    </row>
    <row r="108" spans="1:2" ht="13.2" x14ac:dyDescent="0.25">
      <c r="A108"/>
      <c r="B108"/>
    </row>
    <row r="109" spans="1:2" ht="13.2" x14ac:dyDescent="0.25">
      <c r="A109"/>
      <c r="B109"/>
    </row>
    <row r="110" spans="1:2" ht="13.2" x14ac:dyDescent="0.25">
      <c r="A110"/>
      <c r="B110"/>
    </row>
    <row r="111" spans="1:2" ht="13.2" x14ac:dyDescent="0.25">
      <c r="A111"/>
      <c r="B111"/>
    </row>
    <row r="112" spans="1:2" ht="13.2" x14ac:dyDescent="0.25">
      <c r="A112"/>
      <c r="B112"/>
    </row>
    <row r="113" spans="1:2" ht="13.2" x14ac:dyDescent="0.25">
      <c r="A113"/>
      <c r="B113"/>
    </row>
    <row r="114" spans="1:2" ht="13.2" x14ac:dyDescent="0.25">
      <c r="A114"/>
      <c r="B114"/>
    </row>
    <row r="115" spans="1:2" ht="13.2" x14ac:dyDescent="0.25">
      <c r="A115"/>
      <c r="B115"/>
    </row>
    <row r="116" spans="1:2" ht="13.2" x14ac:dyDescent="0.25">
      <c r="A116"/>
      <c r="B116"/>
    </row>
    <row r="117" spans="1:2" ht="13.2" x14ac:dyDescent="0.25">
      <c r="A117"/>
      <c r="B117"/>
    </row>
    <row r="118" spans="1:2" ht="13.2" x14ac:dyDescent="0.25">
      <c r="A118"/>
      <c r="B118"/>
    </row>
    <row r="119" spans="1:2" ht="13.2" x14ac:dyDescent="0.25">
      <c r="A119"/>
      <c r="B119"/>
    </row>
    <row r="120" spans="1:2" ht="13.2" x14ac:dyDescent="0.25">
      <c r="A120"/>
      <c r="B120"/>
    </row>
    <row r="121" spans="1:2" ht="13.2" x14ac:dyDescent="0.25">
      <c r="A121"/>
      <c r="B121"/>
    </row>
    <row r="122" spans="1:2" ht="13.2" x14ac:dyDescent="0.25">
      <c r="A122"/>
      <c r="B122"/>
    </row>
    <row r="123" spans="1:2" ht="13.2" x14ac:dyDescent="0.25">
      <c r="A123"/>
      <c r="B123"/>
    </row>
    <row r="124" spans="1:2" ht="13.2" x14ac:dyDescent="0.25">
      <c r="A124"/>
      <c r="B124"/>
    </row>
    <row r="125" spans="1:2" ht="13.2" x14ac:dyDescent="0.25">
      <c r="A125"/>
      <c r="B125"/>
    </row>
    <row r="126" spans="1:2" ht="13.2" x14ac:dyDescent="0.25">
      <c r="A126"/>
      <c r="B126"/>
    </row>
    <row r="127" spans="1:2" ht="13.2" x14ac:dyDescent="0.25">
      <c r="A127"/>
      <c r="B127"/>
    </row>
    <row r="128" spans="1:2" ht="13.2" x14ac:dyDescent="0.25">
      <c r="A128"/>
      <c r="B128"/>
    </row>
    <row r="129" spans="1:2" ht="13.2" x14ac:dyDescent="0.25">
      <c r="A129"/>
      <c r="B129"/>
    </row>
    <row r="130" spans="1:2" ht="13.2" x14ac:dyDescent="0.25">
      <c r="A130"/>
      <c r="B130"/>
    </row>
    <row r="131" spans="1:2" ht="13.2" x14ac:dyDescent="0.25">
      <c r="A131"/>
      <c r="B131"/>
    </row>
    <row r="132" spans="1:2" ht="13.2" x14ac:dyDescent="0.25">
      <c r="A132"/>
      <c r="B132"/>
    </row>
    <row r="133" spans="1:2" ht="13.2" x14ac:dyDescent="0.25">
      <c r="A133"/>
      <c r="B133"/>
    </row>
    <row r="134" spans="1:2" ht="13.2" x14ac:dyDescent="0.25">
      <c r="A134"/>
      <c r="B134"/>
    </row>
    <row r="135" spans="1:2" ht="13.2" x14ac:dyDescent="0.25">
      <c r="A135"/>
      <c r="B135"/>
    </row>
    <row r="136" spans="1:2" ht="13.2" x14ac:dyDescent="0.25">
      <c r="A136"/>
      <c r="B136"/>
    </row>
    <row r="137" spans="1:2" ht="13.2" x14ac:dyDescent="0.25">
      <c r="A137"/>
      <c r="B137"/>
    </row>
    <row r="138" spans="1:2" ht="13.2" x14ac:dyDescent="0.25">
      <c r="A138"/>
      <c r="B138"/>
    </row>
    <row r="139" spans="1:2" ht="13.2" x14ac:dyDescent="0.25">
      <c r="A139"/>
      <c r="B139"/>
    </row>
    <row r="140" spans="1:2" ht="13.2" x14ac:dyDescent="0.25">
      <c r="A140"/>
      <c r="B140"/>
    </row>
    <row r="141" spans="1:2" ht="13.2" x14ac:dyDescent="0.25">
      <c r="A141"/>
      <c r="B141"/>
    </row>
    <row r="142" spans="1:2" ht="13.2" x14ac:dyDescent="0.25">
      <c r="A142"/>
      <c r="B142"/>
    </row>
    <row r="143" spans="1:2" ht="13.2" x14ac:dyDescent="0.25">
      <c r="A143"/>
      <c r="B143"/>
    </row>
    <row r="144" spans="1:2" ht="13.2" x14ac:dyDescent="0.25">
      <c r="A144"/>
      <c r="B144"/>
    </row>
    <row r="145" spans="1:2" ht="13.2" x14ac:dyDescent="0.25">
      <c r="A145"/>
      <c r="B145"/>
    </row>
    <row r="146" spans="1:2" ht="13.2" x14ac:dyDescent="0.25">
      <c r="A146"/>
      <c r="B146"/>
    </row>
    <row r="147" spans="1:2" ht="13.2" x14ac:dyDescent="0.25">
      <c r="A147"/>
      <c r="B147"/>
    </row>
    <row r="148" spans="1:2" ht="13.2" x14ac:dyDescent="0.25">
      <c r="A148"/>
      <c r="B148"/>
    </row>
    <row r="149" spans="1:2" ht="13.2" x14ac:dyDescent="0.25">
      <c r="A149"/>
      <c r="B149"/>
    </row>
    <row r="150" spans="1:2" ht="13.2" x14ac:dyDescent="0.25">
      <c r="A150"/>
      <c r="B150"/>
    </row>
    <row r="151" spans="1:2" ht="13.2" x14ac:dyDescent="0.25">
      <c r="A151"/>
      <c r="B151"/>
    </row>
    <row r="152" spans="1:2" ht="13.2" x14ac:dyDescent="0.25">
      <c r="A152"/>
      <c r="B152"/>
    </row>
    <row r="153" spans="1:2" ht="13.2" x14ac:dyDescent="0.25">
      <c r="A153"/>
      <c r="B153"/>
    </row>
    <row r="154" spans="1:2" ht="13.2" x14ac:dyDescent="0.25">
      <c r="A154"/>
      <c r="B154"/>
    </row>
    <row r="155" spans="1:2" ht="13.2" x14ac:dyDescent="0.25">
      <c r="A155"/>
      <c r="B155"/>
    </row>
    <row r="156" spans="1:2" ht="13.2" x14ac:dyDescent="0.25">
      <c r="A156"/>
      <c r="B156"/>
    </row>
    <row r="157" spans="1:2" ht="13.2" x14ac:dyDescent="0.25">
      <c r="A157"/>
      <c r="B157"/>
    </row>
    <row r="158" spans="1:2" ht="13.2" x14ac:dyDescent="0.25">
      <c r="A158"/>
      <c r="B158"/>
    </row>
    <row r="159" spans="1:2" ht="13.2" x14ac:dyDescent="0.25">
      <c r="A159"/>
      <c r="B159"/>
    </row>
    <row r="160" spans="1:2" ht="13.2" x14ac:dyDescent="0.25">
      <c r="A160"/>
      <c r="B160"/>
    </row>
    <row r="161" spans="1:2" ht="13.2" x14ac:dyDescent="0.25">
      <c r="A161"/>
      <c r="B161"/>
    </row>
    <row r="162" spans="1:2" ht="13.2" x14ac:dyDescent="0.25">
      <c r="A162"/>
      <c r="B162"/>
    </row>
    <row r="163" spans="1:2" ht="13.2" x14ac:dyDescent="0.25">
      <c r="A163"/>
      <c r="B163"/>
    </row>
    <row r="164" spans="1:2" ht="13.2" x14ac:dyDescent="0.25">
      <c r="A164"/>
      <c r="B164"/>
    </row>
    <row r="165" spans="1:2" ht="13.2" x14ac:dyDescent="0.25">
      <c r="A165"/>
      <c r="B165"/>
    </row>
    <row r="166" spans="1:2" ht="13.2" x14ac:dyDescent="0.25">
      <c r="A166"/>
      <c r="B166"/>
    </row>
    <row r="167" spans="1:2" ht="13.2" x14ac:dyDescent="0.25">
      <c r="A167"/>
      <c r="B167"/>
    </row>
    <row r="168" spans="1:2" ht="13.2" x14ac:dyDescent="0.25">
      <c r="A168"/>
      <c r="B168"/>
    </row>
    <row r="169" spans="1:2" ht="13.2" x14ac:dyDescent="0.25">
      <c r="A169"/>
      <c r="B169"/>
    </row>
    <row r="170" spans="1:2" ht="13.2" x14ac:dyDescent="0.25">
      <c r="A170"/>
      <c r="B170"/>
    </row>
    <row r="171" spans="1:2" ht="13.2" x14ac:dyDescent="0.25">
      <c r="A171"/>
      <c r="B171"/>
    </row>
    <row r="172" spans="1:2" ht="13.2" x14ac:dyDescent="0.25">
      <c r="A172"/>
      <c r="B172"/>
    </row>
    <row r="173" spans="1:2" ht="13.2" x14ac:dyDescent="0.25">
      <c r="A173"/>
      <c r="B173"/>
    </row>
    <row r="174" spans="1:2" ht="13.2" x14ac:dyDescent="0.25">
      <c r="A174"/>
      <c r="B174"/>
    </row>
    <row r="175" spans="1:2" ht="13.2" x14ac:dyDescent="0.25">
      <c r="A175"/>
      <c r="B175"/>
    </row>
    <row r="176" spans="1:2" ht="13.2" x14ac:dyDescent="0.25">
      <c r="A176"/>
      <c r="B176"/>
    </row>
    <row r="177" spans="1:2" ht="13.2" x14ac:dyDescent="0.25">
      <c r="A177"/>
      <c r="B177"/>
    </row>
    <row r="178" spans="1:2" ht="13.2" x14ac:dyDescent="0.25">
      <c r="A178"/>
      <c r="B178"/>
    </row>
    <row r="179" spans="1:2" ht="13.2" x14ac:dyDescent="0.25">
      <c r="A179"/>
      <c r="B179"/>
    </row>
    <row r="180" spans="1:2" ht="13.2" x14ac:dyDescent="0.25">
      <c r="A180"/>
      <c r="B180"/>
    </row>
    <row r="181" spans="1:2" ht="13.2" x14ac:dyDescent="0.25">
      <c r="A181"/>
      <c r="B181"/>
    </row>
    <row r="182" spans="1:2" ht="13.2" x14ac:dyDescent="0.25">
      <c r="A182"/>
      <c r="B182"/>
    </row>
    <row r="183" spans="1:2" ht="13.2" x14ac:dyDescent="0.25">
      <c r="A183"/>
      <c r="B183"/>
    </row>
    <row r="184" spans="1:2" ht="13.2" x14ac:dyDescent="0.25">
      <c r="A184"/>
      <c r="B184"/>
    </row>
    <row r="185" spans="1:2" ht="13.2" x14ac:dyDescent="0.25">
      <c r="A185"/>
      <c r="B185"/>
    </row>
    <row r="186" spans="1:2" ht="13.2" x14ac:dyDescent="0.25">
      <c r="A186"/>
      <c r="B186"/>
    </row>
    <row r="187" spans="1:2" ht="13.2" x14ac:dyDescent="0.25">
      <c r="A187"/>
      <c r="B187"/>
    </row>
    <row r="188" spans="1:2" ht="13.2" x14ac:dyDescent="0.25">
      <c r="A188"/>
      <c r="B188"/>
    </row>
    <row r="189" spans="1:2" ht="13.2" x14ac:dyDescent="0.25">
      <c r="A189"/>
      <c r="B189"/>
    </row>
    <row r="190" spans="1:2" ht="13.2" x14ac:dyDescent="0.25">
      <c r="A190"/>
      <c r="B190"/>
    </row>
    <row r="191" spans="1:2" ht="13.2" x14ac:dyDescent="0.25">
      <c r="A191"/>
      <c r="B191"/>
    </row>
    <row r="192" spans="1:2" ht="13.2" x14ac:dyDescent="0.25">
      <c r="A192"/>
      <c r="B192"/>
    </row>
    <row r="193" spans="1:2" ht="13.2" x14ac:dyDescent="0.25">
      <c r="A193"/>
      <c r="B193"/>
    </row>
    <row r="194" spans="1:2" ht="13.2" x14ac:dyDescent="0.25">
      <c r="A194"/>
      <c r="B194"/>
    </row>
    <row r="195" spans="1:2" ht="13.2" x14ac:dyDescent="0.25">
      <c r="A195"/>
      <c r="B195"/>
    </row>
    <row r="196" spans="1:2" ht="13.2" x14ac:dyDescent="0.25">
      <c r="A196"/>
      <c r="B196"/>
    </row>
    <row r="197" spans="1:2" ht="13.2" x14ac:dyDescent="0.25">
      <c r="A197"/>
      <c r="B197"/>
    </row>
    <row r="198" spans="1:2" ht="13.2" x14ac:dyDescent="0.25">
      <c r="A198"/>
      <c r="B198"/>
    </row>
    <row r="199" spans="1:2" ht="13.2" x14ac:dyDescent="0.25">
      <c r="A199"/>
      <c r="B199"/>
    </row>
    <row r="200" spans="1:2" ht="13.2" x14ac:dyDescent="0.25">
      <c r="A200"/>
      <c r="B200"/>
    </row>
    <row r="201" spans="1:2" ht="13.2" x14ac:dyDescent="0.25">
      <c r="A201"/>
      <c r="B201"/>
    </row>
    <row r="202" spans="1:2" ht="13.2" x14ac:dyDescent="0.25">
      <c r="A202"/>
      <c r="B202"/>
    </row>
    <row r="203" spans="1:2" ht="13.2" x14ac:dyDescent="0.25">
      <c r="A203"/>
      <c r="B203"/>
    </row>
    <row r="204" spans="1:2" ht="13.2" x14ac:dyDescent="0.25">
      <c r="A204"/>
      <c r="B204"/>
    </row>
    <row r="205" spans="1:2" ht="13.2" x14ac:dyDescent="0.25">
      <c r="A205"/>
      <c r="B205"/>
    </row>
    <row r="206" spans="1:2" ht="13.2" x14ac:dyDescent="0.25">
      <c r="A206"/>
      <c r="B206"/>
    </row>
    <row r="207" spans="1:2" ht="13.2" x14ac:dyDescent="0.25">
      <c r="A207"/>
      <c r="B207"/>
    </row>
    <row r="208" spans="1:2" ht="13.2" x14ac:dyDescent="0.25">
      <c r="A208"/>
      <c r="B208"/>
    </row>
    <row r="209" spans="1:2" ht="13.2" x14ac:dyDescent="0.25">
      <c r="A209"/>
      <c r="B209"/>
    </row>
    <row r="210" spans="1:2" ht="13.2" x14ac:dyDescent="0.25">
      <c r="A210"/>
      <c r="B210"/>
    </row>
    <row r="211" spans="1:2" ht="13.2" x14ac:dyDescent="0.25">
      <c r="A211"/>
      <c r="B211"/>
    </row>
    <row r="212" spans="1:2" ht="13.2" x14ac:dyDescent="0.25">
      <c r="A212"/>
      <c r="B212"/>
    </row>
    <row r="213" spans="1:2" ht="13.2" x14ac:dyDescent="0.25">
      <c r="A213"/>
      <c r="B213"/>
    </row>
    <row r="214" spans="1:2" ht="13.2" x14ac:dyDescent="0.25">
      <c r="A214"/>
      <c r="B214"/>
    </row>
    <row r="215" spans="1:2" ht="13.2" x14ac:dyDescent="0.25">
      <c r="A215"/>
      <c r="B215"/>
    </row>
    <row r="216" spans="1:2" ht="13.2" x14ac:dyDescent="0.25">
      <c r="A216"/>
      <c r="B216"/>
    </row>
    <row r="217" spans="1:2" ht="13.2" x14ac:dyDescent="0.25">
      <c r="A217"/>
      <c r="B217"/>
    </row>
    <row r="218" spans="1:2" ht="13.2" x14ac:dyDescent="0.25">
      <c r="A218"/>
      <c r="B218"/>
    </row>
    <row r="219" spans="1:2" ht="13.2" x14ac:dyDescent="0.25">
      <c r="A219"/>
      <c r="B219"/>
    </row>
    <row r="220" spans="1:2" ht="13.2" x14ac:dyDescent="0.25">
      <c r="A220"/>
      <c r="B220"/>
    </row>
    <row r="221" spans="1:2" ht="13.2" x14ac:dyDescent="0.25">
      <c r="A221"/>
      <c r="B221"/>
    </row>
    <row r="222" spans="1:2" ht="13.2" x14ac:dyDescent="0.25">
      <c r="A222"/>
      <c r="B222"/>
    </row>
    <row r="223" spans="1:2" ht="13.2" x14ac:dyDescent="0.25">
      <c r="A223"/>
      <c r="B223"/>
    </row>
    <row r="224" spans="1:2" ht="13.2" x14ac:dyDescent="0.25">
      <c r="A224"/>
      <c r="B224"/>
    </row>
    <row r="225" spans="1:2" ht="13.2" x14ac:dyDescent="0.25">
      <c r="A225"/>
      <c r="B225"/>
    </row>
    <row r="226" spans="1:2" ht="13.2" x14ac:dyDescent="0.25">
      <c r="A226"/>
      <c r="B226"/>
    </row>
    <row r="227" spans="1:2" ht="13.2" x14ac:dyDescent="0.25">
      <c r="A227"/>
      <c r="B227"/>
    </row>
    <row r="228" spans="1:2" ht="13.2" x14ac:dyDescent="0.25">
      <c r="A228"/>
      <c r="B228"/>
    </row>
    <row r="229" spans="1:2" ht="13.2" x14ac:dyDescent="0.25">
      <c r="A229"/>
      <c r="B229"/>
    </row>
    <row r="230" spans="1:2" ht="13.2" x14ac:dyDescent="0.25">
      <c r="A230"/>
      <c r="B230"/>
    </row>
    <row r="231" spans="1:2" ht="13.2" x14ac:dyDescent="0.25">
      <c r="A231"/>
      <c r="B231"/>
    </row>
    <row r="232" spans="1:2" ht="13.2" x14ac:dyDescent="0.25">
      <c r="A232"/>
      <c r="B232"/>
    </row>
    <row r="233" spans="1:2" ht="13.2" x14ac:dyDescent="0.25">
      <c r="A233"/>
      <c r="B233"/>
    </row>
    <row r="234" spans="1:2" ht="13.2" x14ac:dyDescent="0.25">
      <c r="A234"/>
      <c r="B234"/>
    </row>
    <row r="235" spans="1:2" ht="13.2" x14ac:dyDescent="0.25">
      <c r="A235"/>
      <c r="B235"/>
    </row>
    <row r="236" spans="1:2" ht="13.2" x14ac:dyDescent="0.25">
      <c r="A236"/>
      <c r="B236"/>
    </row>
    <row r="237" spans="1:2" ht="13.2" x14ac:dyDescent="0.25">
      <c r="A237"/>
      <c r="B237"/>
    </row>
    <row r="238" spans="1:2" ht="13.2" x14ac:dyDescent="0.25">
      <c r="A238"/>
      <c r="B238"/>
    </row>
    <row r="239" spans="1:2" ht="13.2" x14ac:dyDescent="0.25">
      <c r="A239"/>
      <c r="B239"/>
    </row>
    <row r="240" spans="1:2" ht="13.2" x14ac:dyDescent="0.25">
      <c r="A240"/>
      <c r="B240"/>
    </row>
    <row r="241" spans="1:2" ht="13.2" x14ac:dyDescent="0.25">
      <c r="A241"/>
      <c r="B241"/>
    </row>
    <row r="242" spans="1:2" ht="13.2" x14ac:dyDescent="0.25">
      <c r="A242"/>
      <c r="B242"/>
    </row>
    <row r="243" spans="1:2" ht="13.2" x14ac:dyDescent="0.25">
      <c r="A243"/>
      <c r="B243"/>
    </row>
    <row r="244" spans="1:2" ht="13.2" x14ac:dyDescent="0.25">
      <c r="A244"/>
      <c r="B244"/>
    </row>
    <row r="245" spans="1:2" ht="13.2" x14ac:dyDescent="0.25">
      <c r="A245"/>
      <c r="B245"/>
    </row>
    <row r="246" spans="1:2" ht="13.2" x14ac:dyDescent="0.25">
      <c r="A246"/>
      <c r="B246"/>
    </row>
    <row r="247" spans="1:2" ht="13.2" x14ac:dyDescent="0.25">
      <c r="A247"/>
      <c r="B247"/>
    </row>
    <row r="248" spans="1:2" ht="13.2" x14ac:dyDescent="0.25">
      <c r="A248"/>
      <c r="B248"/>
    </row>
    <row r="249" spans="1:2" ht="13.2" x14ac:dyDescent="0.25">
      <c r="A249"/>
      <c r="B249"/>
    </row>
    <row r="250" spans="1:2" ht="13.2" x14ac:dyDescent="0.25">
      <c r="A250"/>
      <c r="B250"/>
    </row>
    <row r="251" spans="1:2" ht="13.2" x14ac:dyDescent="0.25">
      <c r="A251"/>
      <c r="B251"/>
    </row>
    <row r="252" spans="1:2" ht="13.2" x14ac:dyDescent="0.25">
      <c r="A252"/>
      <c r="B252"/>
    </row>
    <row r="253" spans="1:2" ht="13.2" x14ac:dyDescent="0.25">
      <c r="A253"/>
      <c r="B253"/>
    </row>
    <row r="254" spans="1:2" ht="13.2" x14ac:dyDescent="0.25">
      <c r="A254"/>
      <c r="B254"/>
    </row>
    <row r="255" spans="1:2" ht="13.2" x14ac:dyDescent="0.25">
      <c r="A255"/>
      <c r="B255"/>
    </row>
    <row r="256" spans="1:2" ht="13.2" x14ac:dyDescent="0.25">
      <c r="A256"/>
      <c r="B256"/>
    </row>
    <row r="257" spans="1:2" ht="13.2" x14ac:dyDescent="0.25">
      <c r="A257"/>
      <c r="B257"/>
    </row>
    <row r="258" spans="1:2" ht="13.2" x14ac:dyDescent="0.25">
      <c r="A258"/>
      <c r="B258"/>
    </row>
    <row r="259" spans="1:2" ht="13.2" x14ac:dyDescent="0.25">
      <c r="A259"/>
      <c r="B259"/>
    </row>
    <row r="260" spans="1:2" ht="13.2" x14ac:dyDescent="0.25">
      <c r="A260"/>
      <c r="B260"/>
    </row>
    <row r="261" spans="1:2" ht="13.2" x14ac:dyDescent="0.25">
      <c r="A261"/>
      <c r="B261"/>
    </row>
    <row r="262" spans="1:2" ht="13.2" x14ac:dyDescent="0.25">
      <c r="A262"/>
      <c r="B262"/>
    </row>
    <row r="263" spans="1:2" ht="13.2" x14ac:dyDescent="0.25">
      <c r="A263"/>
      <c r="B263"/>
    </row>
    <row r="264" spans="1:2" ht="13.2" x14ac:dyDescent="0.25">
      <c r="A264"/>
      <c r="B264"/>
    </row>
    <row r="265" spans="1:2" ht="13.2" x14ac:dyDescent="0.25">
      <c r="A265"/>
      <c r="B265"/>
    </row>
    <row r="266" spans="1:2" ht="13.2" x14ac:dyDescent="0.25">
      <c r="A266"/>
      <c r="B266"/>
    </row>
    <row r="267" spans="1:2" ht="13.2" x14ac:dyDescent="0.25">
      <c r="A267"/>
      <c r="B267"/>
    </row>
    <row r="268" spans="1:2" ht="13.2" x14ac:dyDescent="0.25">
      <c r="A268"/>
      <c r="B268"/>
    </row>
    <row r="269" spans="1:2" ht="13.2" x14ac:dyDescent="0.25">
      <c r="A269"/>
      <c r="B269"/>
    </row>
    <row r="270" spans="1:2" ht="13.2" x14ac:dyDescent="0.25">
      <c r="A270"/>
      <c r="B270"/>
    </row>
    <row r="271" spans="1:2" ht="13.2" x14ac:dyDescent="0.25">
      <c r="A271"/>
      <c r="B271"/>
    </row>
    <row r="272" spans="1:2" ht="13.2" x14ac:dyDescent="0.25">
      <c r="A272"/>
      <c r="B272"/>
    </row>
    <row r="273" spans="1:2" ht="13.2" x14ac:dyDescent="0.25">
      <c r="A273"/>
      <c r="B273"/>
    </row>
    <row r="274" spans="1:2" ht="13.2" x14ac:dyDescent="0.25">
      <c r="A274"/>
      <c r="B274"/>
    </row>
    <row r="275" spans="1:2" ht="13.2" x14ac:dyDescent="0.25">
      <c r="A275"/>
      <c r="B275"/>
    </row>
    <row r="276" spans="1:2" ht="13.2" x14ac:dyDescent="0.25">
      <c r="A276"/>
      <c r="B276"/>
    </row>
    <row r="277" spans="1:2" ht="13.2" x14ac:dyDescent="0.25">
      <c r="A277"/>
      <c r="B277"/>
    </row>
    <row r="278" spans="1:2" ht="13.2" x14ac:dyDescent="0.25">
      <c r="A278"/>
      <c r="B278"/>
    </row>
    <row r="279" spans="1:2" ht="13.2" x14ac:dyDescent="0.25">
      <c r="A279"/>
      <c r="B279"/>
    </row>
    <row r="280" spans="1:2" ht="13.2" x14ac:dyDescent="0.25">
      <c r="A280"/>
      <c r="B280"/>
    </row>
    <row r="281" spans="1:2" ht="13.2" x14ac:dyDescent="0.25">
      <c r="A281"/>
      <c r="B281"/>
    </row>
    <row r="282" spans="1:2" ht="13.2" x14ac:dyDescent="0.25">
      <c r="A282"/>
      <c r="B282"/>
    </row>
    <row r="283" spans="1:2" ht="13.2" x14ac:dyDescent="0.25">
      <c r="A283"/>
      <c r="B283"/>
    </row>
    <row r="284" spans="1:2" ht="13.2" x14ac:dyDescent="0.25">
      <c r="A284"/>
      <c r="B284"/>
    </row>
    <row r="285" spans="1:2" ht="13.2" x14ac:dyDescent="0.25">
      <c r="A285"/>
      <c r="B285"/>
    </row>
    <row r="286" spans="1:2" ht="13.2" x14ac:dyDescent="0.25">
      <c r="A286"/>
      <c r="B286"/>
    </row>
    <row r="287" spans="1:2" ht="13.2" x14ac:dyDescent="0.25">
      <c r="A287"/>
      <c r="B287"/>
    </row>
    <row r="288" spans="1:2" ht="13.2" x14ac:dyDescent="0.25">
      <c r="A288"/>
      <c r="B288"/>
    </row>
    <row r="289" spans="1:2" ht="13.2" x14ac:dyDescent="0.25">
      <c r="A289"/>
      <c r="B289"/>
    </row>
    <row r="290" spans="1:2" ht="13.2" x14ac:dyDescent="0.25">
      <c r="A290"/>
      <c r="B290"/>
    </row>
    <row r="291" spans="1:2" ht="13.2" x14ac:dyDescent="0.25">
      <c r="A291"/>
      <c r="B291"/>
    </row>
    <row r="292" spans="1:2" ht="13.2" x14ac:dyDescent="0.25">
      <c r="A292"/>
      <c r="B292"/>
    </row>
    <row r="293" spans="1:2" ht="13.2" x14ac:dyDescent="0.25">
      <c r="A293"/>
      <c r="B293"/>
    </row>
    <row r="294" spans="1:2" ht="13.2" x14ac:dyDescent="0.25">
      <c r="A294"/>
      <c r="B294"/>
    </row>
    <row r="295" spans="1:2" ht="13.2" x14ac:dyDescent="0.25">
      <c r="A295"/>
      <c r="B295"/>
    </row>
    <row r="296" spans="1:2" ht="13.2" x14ac:dyDescent="0.25">
      <c r="A296"/>
      <c r="B296"/>
    </row>
    <row r="297" spans="1:2" ht="13.2" x14ac:dyDescent="0.25">
      <c r="A297"/>
      <c r="B297"/>
    </row>
    <row r="298" spans="1:2" ht="13.2" x14ac:dyDescent="0.25">
      <c r="A298"/>
      <c r="B298"/>
    </row>
    <row r="299" spans="1:2" ht="13.2" x14ac:dyDescent="0.25">
      <c r="A299"/>
      <c r="B299"/>
    </row>
    <row r="300" spans="1:2" ht="13.2" x14ac:dyDescent="0.25">
      <c r="A300"/>
      <c r="B300"/>
    </row>
    <row r="301" spans="1:2" ht="13.2" x14ac:dyDescent="0.25">
      <c r="A301"/>
      <c r="B301"/>
    </row>
    <row r="302" spans="1:2" ht="13.2" x14ac:dyDescent="0.25">
      <c r="A302"/>
      <c r="B302"/>
    </row>
    <row r="303" spans="1:2" ht="13.2" x14ac:dyDescent="0.25">
      <c r="A303"/>
      <c r="B303"/>
    </row>
    <row r="304" spans="1:2" ht="13.2" x14ac:dyDescent="0.25">
      <c r="A304"/>
      <c r="B304"/>
    </row>
    <row r="305" spans="1:2" ht="13.2" x14ac:dyDescent="0.25">
      <c r="A305"/>
      <c r="B305"/>
    </row>
    <row r="306" spans="1:2" ht="13.2" x14ac:dyDescent="0.25">
      <c r="A306"/>
      <c r="B306"/>
    </row>
    <row r="307" spans="1:2" ht="13.2" x14ac:dyDescent="0.25">
      <c r="A307"/>
      <c r="B307"/>
    </row>
    <row r="308" spans="1:2" ht="13.2" x14ac:dyDescent="0.25">
      <c r="A308"/>
      <c r="B308"/>
    </row>
    <row r="309" spans="1:2" ht="13.2" x14ac:dyDescent="0.25">
      <c r="A309"/>
      <c r="B309"/>
    </row>
    <row r="310" spans="1:2" ht="13.2" x14ac:dyDescent="0.25">
      <c r="A310"/>
      <c r="B310"/>
    </row>
    <row r="311" spans="1:2" ht="13.2" x14ac:dyDescent="0.25">
      <c r="A311"/>
      <c r="B311"/>
    </row>
    <row r="312" spans="1:2" ht="13.2" x14ac:dyDescent="0.25">
      <c r="A312"/>
      <c r="B312"/>
    </row>
    <row r="313" spans="1:2" ht="13.2" x14ac:dyDescent="0.25">
      <c r="A313"/>
      <c r="B313"/>
    </row>
    <row r="314" spans="1:2" ht="13.2" x14ac:dyDescent="0.25">
      <c r="A314"/>
      <c r="B314"/>
    </row>
    <row r="315" spans="1:2" ht="13.2" x14ac:dyDescent="0.25">
      <c r="A315"/>
      <c r="B315"/>
    </row>
    <row r="316" spans="1:2" ht="13.2" x14ac:dyDescent="0.25">
      <c r="A316"/>
      <c r="B316"/>
    </row>
    <row r="317" spans="1:2" ht="13.2" x14ac:dyDescent="0.25">
      <c r="A317"/>
      <c r="B317"/>
    </row>
    <row r="318" spans="1:2" ht="13.2" x14ac:dyDescent="0.25">
      <c r="A318"/>
      <c r="B318"/>
    </row>
    <row r="319" spans="1:2" ht="13.2" x14ac:dyDescent="0.25">
      <c r="A319"/>
      <c r="B319"/>
    </row>
    <row r="320" spans="1:2" ht="13.2" x14ac:dyDescent="0.25">
      <c r="A320"/>
      <c r="B320"/>
    </row>
    <row r="321" spans="1:2" ht="13.2" x14ac:dyDescent="0.25">
      <c r="A321"/>
      <c r="B321"/>
    </row>
    <row r="322" spans="1:2" ht="13.2" x14ac:dyDescent="0.25">
      <c r="A322"/>
      <c r="B322"/>
    </row>
    <row r="323" spans="1:2" ht="13.2" x14ac:dyDescent="0.25">
      <c r="A323"/>
      <c r="B323"/>
    </row>
    <row r="324" spans="1:2" ht="13.2" x14ac:dyDescent="0.25">
      <c r="A324"/>
      <c r="B324"/>
    </row>
    <row r="325" spans="1:2" ht="13.2" x14ac:dyDescent="0.25">
      <c r="A325"/>
      <c r="B325"/>
    </row>
    <row r="326" spans="1:2" ht="13.2" x14ac:dyDescent="0.25">
      <c r="A326"/>
      <c r="B326"/>
    </row>
    <row r="327" spans="1:2" ht="13.2" x14ac:dyDescent="0.25">
      <c r="A327"/>
      <c r="B327"/>
    </row>
    <row r="328" spans="1:2" ht="13.2" x14ac:dyDescent="0.25">
      <c r="A328"/>
      <c r="B328"/>
    </row>
    <row r="329" spans="1:2" ht="13.2" x14ac:dyDescent="0.25">
      <c r="A329"/>
      <c r="B329"/>
    </row>
    <row r="330" spans="1:2" ht="13.2" x14ac:dyDescent="0.25">
      <c r="A330"/>
      <c r="B330"/>
    </row>
    <row r="331" spans="1:2" ht="13.2" x14ac:dyDescent="0.25">
      <c r="A331"/>
      <c r="B331"/>
    </row>
    <row r="332" spans="1:2" ht="13.2" x14ac:dyDescent="0.25">
      <c r="A332"/>
      <c r="B332"/>
    </row>
    <row r="333" spans="1:2" ht="13.2" x14ac:dyDescent="0.25">
      <c r="A333"/>
      <c r="B333"/>
    </row>
    <row r="334" spans="1:2" ht="13.2" x14ac:dyDescent="0.25">
      <c r="A334"/>
      <c r="B334"/>
    </row>
    <row r="335" spans="1:2" ht="13.2" x14ac:dyDescent="0.25">
      <c r="A335"/>
      <c r="B335"/>
    </row>
    <row r="336" spans="1:2" ht="13.2" x14ac:dyDescent="0.25">
      <c r="A336"/>
      <c r="B336"/>
    </row>
    <row r="337" spans="1:2" ht="13.2" x14ac:dyDescent="0.25">
      <c r="A337"/>
      <c r="B337"/>
    </row>
    <row r="338" spans="1:2" ht="13.2" x14ac:dyDescent="0.25">
      <c r="A338"/>
      <c r="B338"/>
    </row>
    <row r="339" spans="1:2" ht="13.2" x14ac:dyDescent="0.25">
      <c r="A339"/>
      <c r="B339"/>
    </row>
    <row r="340" spans="1:2" ht="13.2" x14ac:dyDescent="0.25">
      <c r="A340"/>
      <c r="B340"/>
    </row>
    <row r="341" spans="1:2" ht="13.2" x14ac:dyDescent="0.25">
      <c r="A341"/>
      <c r="B341"/>
    </row>
    <row r="342" spans="1:2" ht="13.2" x14ac:dyDescent="0.25">
      <c r="A342"/>
      <c r="B342"/>
    </row>
    <row r="343" spans="1:2" ht="13.2" x14ac:dyDescent="0.25">
      <c r="A343"/>
      <c r="B343"/>
    </row>
    <row r="344" spans="1:2" ht="13.2" x14ac:dyDescent="0.25">
      <c r="A344"/>
      <c r="B344"/>
    </row>
    <row r="345" spans="1:2" ht="13.2" x14ac:dyDescent="0.25">
      <c r="A345"/>
      <c r="B345"/>
    </row>
    <row r="346" spans="1:2" ht="13.2" x14ac:dyDescent="0.25">
      <c r="A346"/>
      <c r="B346"/>
    </row>
    <row r="347" spans="1:2" ht="13.2" x14ac:dyDescent="0.25">
      <c r="A347"/>
      <c r="B347"/>
    </row>
    <row r="348" spans="1:2" ht="13.2" x14ac:dyDescent="0.25">
      <c r="A348"/>
      <c r="B348"/>
    </row>
    <row r="349" spans="1:2" ht="13.2" x14ac:dyDescent="0.25">
      <c r="A349"/>
      <c r="B349"/>
    </row>
    <row r="350" spans="1:2" ht="13.2" x14ac:dyDescent="0.25">
      <c r="A350"/>
      <c r="B350"/>
    </row>
    <row r="351" spans="1:2" ht="13.2" x14ac:dyDescent="0.25">
      <c r="A351"/>
      <c r="B351"/>
    </row>
    <row r="352" spans="1:2" ht="13.2" x14ac:dyDescent="0.25">
      <c r="A352"/>
      <c r="B352"/>
    </row>
    <row r="353" spans="1:2" ht="13.2" x14ac:dyDescent="0.25">
      <c r="A353"/>
      <c r="B353"/>
    </row>
    <row r="354" spans="1:2" ht="13.2" x14ac:dyDescent="0.25">
      <c r="A354"/>
      <c r="B354"/>
    </row>
    <row r="355" spans="1:2" ht="13.2" x14ac:dyDescent="0.25">
      <c r="A355"/>
      <c r="B355"/>
    </row>
    <row r="356" spans="1:2" ht="13.2" x14ac:dyDescent="0.25">
      <c r="A356"/>
      <c r="B356"/>
    </row>
    <row r="357" spans="1:2" ht="13.2" x14ac:dyDescent="0.25">
      <c r="A357"/>
      <c r="B357"/>
    </row>
    <row r="358" spans="1:2" ht="13.2" x14ac:dyDescent="0.25">
      <c r="A358"/>
      <c r="B358"/>
    </row>
    <row r="359" spans="1:2" ht="13.2" x14ac:dyDescent="0.25">
      <c r="A359"/>
      <c r="B359"/>
    </row>
    <row r="360" spans="1:2" ht="13.2" x14ac:dyDescent="0.25">
      <c r="A360"/>
      <c r="B360"/>
    </row>
    <row r="361" spans="1:2" ht="13.2" x14ac:dyDescent="0.25">
      <c r="A361"/>
      <c r="B361"/>
    </row>
    <row r="362" spans="1:2" ht="13.2" x14ac:dyDescent="0.25">
      <c r="A362"/>
      <c r="B362"/>
    </row>
    <row r="363" spans="1:2" ht="13.2" x14ac:dyDescent="0.25">
      <c r="A363"/>
      <c r="B363"/>
    </row>
    <row r="364" spans="1:2" ht="13.2" x14ac:dyDescent="0.25">
      <c r="A364"/>
      <c r="B364"/>
    </row>
    <row r="365" spans="1:2" ht="13.2" x14ac:dyDescent="0.25">
      <c r="A365"/>
      <c r="B365"/>
    </row>
    <row r="366" spans="1:2" ht="13.2" x14ac:dyDescent="0.25">
      <c r="A366"/>
      <c r="B366"/>
    </row>
    <row r="367" spans="1:2" ht="13.2" x14ac:dyDescent="0.25">
      <c r="A367"/>
      <c r="B367"/>
    </row>
    <row r="368" spans="1:2" ht="13.2" x14ac:dyDescent="0.25">
      <c r="A368"/>
      <c r="B368"/>
    </row>
    <row r="369" spans="1:2" ht="13.2" x14ac:dyDescent="0.25">
      <c r="A369"/>
      <c r="B369"/>
    </row>
    <row r="370" spans="1:2" ht="13.2" x14ac:dyDescent="0.25">
      <c r="A370"/>
      <c r="B370"/>
    </row>
    <row r="371" spans="1:2" ht="13.2" x14ac:dyDescent="0.25">
      <c r="A371"/>
      <c r="B371"/>
    </row>
    <row r="372" spans="1:2" ht="13.2" x14ac:dyDescent="0.25">
      <c r="A372"/>
      <c r="B372"/>
    </row>
    <row r="373" spans="1:2" ht="13.2" x14ac:dyDescent="0.25">
      <c r="A373"/>
      <c r="B373"/>
    </row>
    <row r="374" spans="1:2" ht="13.2" x14ac:dyDescent="0.25">
      <c r="A374"/>
      <c r="B374"/>
    </row>
    <row r="375" spans="1:2" ht="13.2" x14ac:dyDescent="0.25">
      <c r="A375"/>
      <c r="B375"/>
    </row>
    <row r="376" spans="1:2" ht="13.2" x14ac:dyDescent="0.25">
      <c r="A376"/>
      <c r="B376"/>
    </row>
    <row r="377" spans="1:2" ht="13.2" x14ac:dyDescent="0.25">
      <c r="A377"/>
      <c r="B377"/>
    </row>
    <row r="378" spans="1:2" ht="13.2" x14ac:dyDescent="0.25">
      <c r="A378"/>
      <c r="B378"/>
    </row>
    <row r="379" spans="1:2" ht="13.2" x14ac:dyDescent="0.25">
      <c r="A379"/>
      <c r="B379"/>
    </row>
    <row r="380" spans="1:2" ht="13.2" x14ac:dyDescent="0.25">
      <c r="A380"/>
      <c r="B380"/>
    </row>
    <row r="381" spans="1:2" ht="13.2" x14ac:dyDescent="0.25">
      <c r="A381"/>
      <c r="B381"/>
    </row>
    <row r="382" spans="1:2" ht="13.2" x14ac:dyDescent="0.25">
      <c r="A382"/>
      <c r="B382"/>
    </row>
    <row r="383" spans="1:2" ht="13.2" x14ac:dyDescent="0.25">
      <c r="A383"/>
      <c r="B383"/>
    </row>
    <row r="384" spans="1:2" ht="13.2" x14ac:dyDescent="0.25">
      <c r="A384"/>
      <c r="B384"/>
    </row>
    <row r="385" spans="1:2" ht="13.2" x14ac:dyDescent="0.25">
      <c r="A385"/>
      <c r="B385"/>
    </row>
    <row r="386" spans="1:2" ht="13.2" x14ac:dyDescent="0.25">
      <c r="A386"/>
      <c r="B386"/>
    </row>
    <row r="387" spans="1:2" ht="13.2" x14ac:dyDescent="0.25">
      <c r="A387"/>
      <c r="B387"/>
    </row>
    <row r="388" spans="1:2" ht="13.2" x14ac:dyDescent="0.25">
      <c r="A388"/>
      <c r="B388"/>
    </row>
    <row r="389" spans="1:2" ht="13.2" x14ac:dyDescent="0.25">
      <c r="A389"/>
      <c r="B389"/>
    </row>
    <row r="390" spans="1:2" ht="13.2" x14ac:dyDescent="0.25">
      <c r="A390"/>
      <c r="B390"/>
    </row>
    <row r="391" spans="1:2" ht="13.2" x14ac:dyDescent="0.25">
      <c r="A391"/>
      <c r="B391"/>
    </row>
    <row r="392" spans="1:2" ht="13.2" x14ac:dyDescent="0.25">
      <c r="A392"/>
      <c r="B392"/>
    </row>
    <row r="393" spans="1:2" ht="13.2" x14ac:dyDescent="0.25">
      <c r="A393"/>
      <c r="B393"/>
    </row>
    <row r="394" spans="1:2" ht="13.2" x14ac:dyDescent="0.25">
      <c r="A394"/>
      <c r="B394"/>
    </row>
    <row r="395" spans="1:2" ht="13.2" x14ac:dyDescent="0.25">
      <c r="A395"/>
      <c r="B395"/>
    </row>
    <row r="396" spans="1:2" ht="13.2" x14ac:dyDescent="0.25">
      <c r="A396"/>
      <c r="B396"/>
    </row>
    <row r="397" spans="1:2" ht="13.2" x14ac:dyDescent="0.25">
      <c r="A397"/>
      <c r="B397"/>
    </row>
    <row r="398" spans="1:2" ht="13.2" x14ac:dyDescent="0.25">
      <c r="A398"/>
      <c r="B398"/>
    </row>
    <row r="399" spans="1:2" ht="13.2" x14ac:dyDescent="0.25">
      <c r="A399"/>
      <c r="B399"/>
    </row>
    <row r="400" spans="1:2" ht="13.2" x14ac:dyDescent="0.25">
      <c r="A400"/>
      <c r="B400"/>
    </row>
    <row r="401" spans="1:2" ht="13.2" x14ac:dyDescent="0.25">
      <c r="A401"/>
      <c r="B401"/>
    </row>
    <row r="402" spans="1:2" ht="13.2" x14ac:dyDescent="0.25">
      <c r="A402"/>
      <c r="B402"/>
    </row>
    <row r="403" spans="1:2" ht="13.2" x14ac:dyDescent="0.25">
      <c r="A403"/>
      <c r="B403"/>
    </row>
    <row r="404" spans="1:2" ht="13.2" x14ac:dyDescent="0.25">
      <c r="A404"/>
      <c r="B404"/>
    </row>
    <row r="405" spans="1:2" ht="13.2" x14ac:dyDescent="0.25">
      <c r="A405"/>
      <c r="B405"/>
    </row>
    <row r="406" spans="1:2" ht="13.2" x14ac:dyDescent="0.25">
      <c r="A406"/>
      <c r="B406"/>
    </row>
    <row r="407" spans="1:2" ht="13.2" x14ac:dyDescent="0.25">
      <c r="A407"/>
      <c r="B407"/>
    </row>
    <row r="408" spans="1:2" ht="13.2" x14ac:dyDescent="0.25">
      <c r="A408"/>
      <c r="B408"/>
    </row>
    <row r="409" spans="1:2" ht="13.2" x14ac:dyDescent="0.25">
      <c r="A409"/>
      <c r="B409"/>
    </row>
    <row r="410" spans="1:2" ht="13.2" x14ac:dyDescent="0.25">
      <c r="A410"/>
      <c r="B410"/>
    </row>
    <row r="411" spans="1:2" ht="13.2" x14ac:dyDescent="0.25">
      <c r="A411"/>
      <c r="B411"/>
    </row>
    <row r="412" spans="1:2" ht="13.2" x14ac:dyDescent="0.25">
      <c r="A412"/>
      <c r="B412"/>
    </row>
    <row r="413" spans="1:2" ht="13.2" x14ac:dyDescent="0.25">
      <c r="A413"/>
      <c r="B413"/>
    </row>
    <row r="414" spans="1:2" ht="13.2" x14ac:dyDescent="0.25">
      <c r="A414"/>
      <c r="B414"/>
    </row>
    <row r="415" spans="1:2" ht="13.2" x14ac:dyDescent="0.25">
      <c r="A415"/>
      <c r="B415"/>
    </row>
    <row r="416" spans="1:2" ht="13.2" x14ac:dyDescent="0.25">
      <c r="A416"/>
      <c r="B416"/>
    </row>
    <row r="417" spans="1:2" ht="13.2" x14ac:dyDescent="0.25">
      <c r="A417"/>
      <c r="B417"/>
    </row>
    <row r="418" spans="1:2" ht="13.2" x14ac:dyDescent="0.25">
      <c r="A418"/>
      <c r="B418"/>
    </row>
    <row r="419" spans="1:2" ht="13.2" x14ac:dyDescent="0.25">
      <c r="A419"/>
      <c r="B419"/>
    </row>
    <row r="420" spans="1:2" ht="13.2" x14ac:dyDescent="0.25">
      <c r="A420"/>
      <c r="B420"/>
    </row>
    <row r="421" spans="1:2" ht="13.2" x14ac:dyDescent="0.25">
      <c r="A421"/>
      <c r="B421"/>
    </row>
    <row r="422" spans="1:2" ht="13.2" x14ac:dyDescent="0.25">
      <c r="A422"/>
      <c r="B422"/>
    </row>
    <row r="423" spans="1:2" ht="13.2" x14ac:dyDescent="0.25">
      <c r="A423"/>
      <c r="B423"/>
    </row>
    <row r="424" spans="1:2" ht="13.2" x14ac:dyDescent="0.25">
      <c r="A424"/>
      <c r="B424"/>
    </row>
    <row r="425" spans="1:2" ht="13.2" x14ac:dyDescent="0.25">
      <c r="A425"/>
      <c r="B425"/>
    </row>
    <row r="426" spans="1:2" ht="13.2" x14ac:dyDescent="0.25">
      <c r="A426"/>
      <c r="B426"/>
    </row>
    <row r="427" spans="1:2" ht="13.2" x14ac:dyDescent="0.25">
      <c r="A427"/>
      <c r="B427"/>
    </row>
    <row r="428" spans="1:2" ht="13.2" x14ac:dyDescent="0.25">
      <c r="A428"/>
      <c r="B428"/>
    </row>
    <row r="429" spans="1:2" ht="13.2" x14ac:dyDescent="0.25">
      <c r="A429"/>
      <c r="B429"/>
    </row>
    <row r="430" spans="1:2" ht="13.2" x14ac:dyDescent="0.25">
      <c r="A430"/>
      <c r="B430"/>
    </row>
    <row r="431" spans="1:2" ht="13.2" x14ac:dyDescent="0.25">
      <c r="A431"/>
      <c r="B431"/>
    </row>
    <row r="432" spans="1:2" ht="13.2" x14ac:dyDescent="0.25">
      <c r="A432"/>
      <c r="B432"/>
    </row>
    <row r="433" spans="1:2" ht="13.2" x14ac:dyDescent="0.25">
      <c r="A433"/>
      <c r="B433"/>
    </row>
    <row r="434" spans="1:2" ht="13.2" x14ac:dyDescent="0.25">
      <c r="A434"/>
      <c r="B434"/>
    </row>
    <row r="435" spans="1:2" ht="13.2" x14ac:dyDescent="0.25">
      <c r="A435"/>
      <c r="B435"/>
    </row>
    <row r="436" spans="1:2" ht="13.2" x14ac:dyDescent="0.25">
      <c r="A436"/>
      <c r="B436"/>
    </row>
    <row r="437" spans="1:2" ht="13.2" x14ac:dyDescent="0.25">
      <c r="A437"/>
      <c r="B437"/>
    </row>
    <row r="438" spans="1:2" ht="13.2" x14ac:dyDescent="0.25">
      <c r="A438"/>
      <c r="B438"/>
    </row>
    <row r="439" spans="1:2" ht="13.2" x14ac:dyDescent="0.25">
      <c r="A439"/>
      <c r="B439"/>
    </row>
    <row r="440" spans="1:2" ht="13.2" x14ac:dyDescent="0.25">
      <c r="A440"/>
      <c r="B440"/>
    </row>
    <row r="441" spans="1:2" ht="13.2" x14ac:dyDescent="0.25">
      <c r="A441"/>
      <c r="B441"/>
    </row>
    <row r="442" spans="1:2" ht="13.2" x14ac:dyDescent="0.25">
      <c r="A442"/>
      <c r="B442"/>
    </row>
    <row r="443" spans="1:2" ht="13.2" x14ac:dyDescent="0.25">
      <c r="A443"/>
      <c r="B443"/>
    </row>
    <row r="444" spans="1:2" ht="13.2" x14ac:dyDescent="0.25">
      <c r="A444"/>
      <c r="B444"/>
    </row>
    <row r="445" spans="1:2" ht="13.2" x14ac:dyDescent="0.25">
      <c r="A445"/>
      <c r="B445"/>
    </row>
    <row r="446" spans="1:2" ht="13.2" x14ac:dyDescent="0.25">
      <c r="A446"/>
      <c r="B446"/>
    </row>
    <row r="447" spans="1:2" ht="13.2" x14ac:dyDescent="0.25">
      <c r="A447"/>
      <c r="B447"/>
    </row>
    <row r="448" spans="1:2" ht="13.2" x14ac:dyDescent="0.25">
      <c r="A448"/>
      <c r="B448"/>
    </row>
    <row r="449" spans="1:2" ht="13.2" x14ac:dyDescent="0.25">
      <c r="A449"/>
      <c r="B449"/>
    </row>
    <row r="450" spans="1:2" ht="13.2" x14ac:dyDescent="0.25">
      <c r="A450"/>
      <c r="B450"/>
    </row>
    <row r="451" spans="1:2" ht="13.2" x14ac:dyDescent="0.25">
      <c r="A451"/>
      <c r="B451"/>
    </row>
    <row r="452" spans="1:2" ht="13.2" x14ac:dyDescent="0.25">
      <c r="A452"/>
      <c r="B452"/>
    </row>
    <row r="453" spans="1:2" ht="13.2" x14ac:dyDescent="0.25">
      <c r="A453"/>
      <c r="B453"/>
    </row>
    <row r="454" spans="1:2" ht="13.2" x14ac:dyDescent="0.25">
      <c r="A454"/>
      <c r="B454"/>
    </row>
    <row r="455" spans="1:2" ht="13.2" x14ac:dyDescent="0.25">
      <c r="A455"/>
      <c r="B455"/>
    </row>
    <row r="456" spans="1:2" ht="13.2" x14ac:dyDescent="0.25">
      <c r="A456"/>
      <c r="B456"/>
    </row>
    <row r="457" spans="1:2" ht="13.2" x14ac:dyDescent="0.25">
      <c r="A457"/>
      <c r="B457"/>
    </row>
    <row r="458" spans="1:2" ht="13.2" x14ac:dyDescent="0.25">
      <c r="A458"/>
      <c r="B458"/>
    </row>
    <row r="459" spans="1:2" ht="13.2" x14ac:dyDescent="0.25">
      <c r="A459"/>
      <c r="B459"/>
    </row>
    <row r="460" spans="1:2" ht="13.2" x14ac:dyDescent="0.25">
      <c r="A460"/>
      <c r="B460"/>
    </row>
    <row r="461" spans="1:2" ht="13.2" x14ac:dyDescent="0.25">
      <c r="A461"/>
      <c r="B461"/>
    </row>
    <row r="462" spans="1:2" ht="13.2" x14ac:dyDescent="0.25">
      <c r="A462"/>
      <c r="B462"/>
    </row>
    <row r="463" spans="1:2" ht="13.2" x14ac:dyDescent="0.25">
      <c r="A463"/>
      <c r="B463"/>
    </row>
    <row r="464" spans="1:2" ht="13.2" x14ac:dyDescent="0.25">
      <c r="A464"/>
      <c r="B464"/>
    </row>
    <row r="465" spans="1:2" ht="13.2" x14ac:dyDescent="0.25">
      <c r="A465"/>
      <c r="B465"/>
    </row>
    <row r="466" spans="1:2" ht="13.2" x14ac:dyDescent="0.25">
      <c r="A466"/>
      <c r="B466"/>
    </row>
    <row r="467" spans="1:2" ht="13.2" x14ac:dyDescent="0.25">
      <c r="A467"/>
      <c r="B467"/>
    </row>
    <row r="468" spans="1:2" ht="13.2" x14ac:dyDescent="0.25">
      <c r="A468"/>
      <c r="B468"/>
    </row>
    <row r="469" spans="1:2" ht="13.2" x14ac:dyDescent="0.25">
      <c r="A469"/>
      <c r="B469"/>
    </row>
    <row r="470" spans="1:2" ht="13.2" x14ac:dyDescent="0.25">
      <c r="A470"/>
      <c r="B470"/>
    </row>
    <row r="471" spans="1:2" ht="13.2" x14ac:dyDescent="0.25">
      <c r="A471"/>
      <c r="B471"/>
    </row>
    <row r="472" spans="1:2" ht="13.2" x14ac:dyDescent="0.25">
      <c r="A472"/>
      <c r="B472"/>
    </row>
    <row r="473" spans="1:2" ht="13.2" x14ac:dyDescent="0.25">
      <c r="A473"/>
      <c r="B473"/>
    </row>
    <row r="474" spans="1:2" ht="13.2" x14ac:dyDescent="0.25">
      <c r="A474"/>
      <c r="B474"/>
    </row>
    <row r="475" spans="1:2" ht="13.2" x14ac:dyDescent="0.25">
      <c r="A475"/>
      <c r="B475"/>
    </row>
    <row r="476" spans="1:2" ht="13.2" x14ac:dyDescent="0.25">
      <c r="A476"/>
      <c r="B476"/>
    </row>
    <row r="477" spans="1:2" ht="13.2" x14ac:dyDescent="0.25">
      <c r="A477"/>
      <c r="B477"/>
    </row>
    <row r="478" spans="1:2" ht="13.2" x14ac:dyDescent="0.25">
      <c r="A478"/>
      <c r="B478"/>
    </row>
    <row r="479" spans="1:2" ht="13.2" x14ac:dyDescent="0.25">
      <c r="A479"/>
      <c r="B479"/>
    </row>
    <row r="480" spans="1:2" ht="13.2" x14ac:dyDescent="0.25">
      <c r="A480"/>
      <c r="B480"/>
    </row>
    <row r="481" spans="1:2" ht="13.2" x14ac:dyDescent="0.25">
      <c r="A481"/>
      <c r="B481"/>
    </row>
    <row r="482" spans="1:2" ht="13.2" x14ac:dyDescent="0.25">
      <c r="A482"/>
      <c r="B482"/>
    </row>
    <row r="483" spans="1:2" ht="13.2" x14ac:dyDescent="0.25">
      <c r="A483"/>
      <c r="B483"/>
    </row>
    <row r="484" spans="1:2" ht="13.2" x14ac:dyDescent="0.25">
      <c r="A484"/>
      <c r="B484"/>
    </row>
    <row r="485" spans="1:2" ht="13.2" x14ac:dyDescent="0.25">
      <c r="A485"/>
      <c r="B485"/>
    </row>
    <row r="486" spans="1:2" ht="13.2" x14ac:dyDescent="0.25">
      <c r="A486"/>
      <c r="B486"/>
    </row>
    <row r="487" spans="1:2" ht="13.2" x14ac:dyDescent="0.25">
      <c r="A487"/>
      <c r="B487"/>
    </row>
    <row r="488" spans="1:2" ht="13.2" x14ac:dyDescent="0.25">
      <c r="A488"/>
      <c r="B488"/>
    </row>
    <row r="489" spans="1:2" ht="13.2" x14ac:dyDescent="0.25">
      <c r="A489"/>
      <c r="B489"/>
    </row>
    <row r="490" spans="1:2" ht="13.2" x14ac:dyDescent="0.25">
      <c r="A490"/>
      <c r="B490"/>
    </row>
    <row r="491" spans="1:2" ht="13.2" x14ac:dyDescent="0.25">
      <c r="A491"/>
      <c r="B491"/>
    </row>
    <row r="492" spans="1:2" ht="13.2" x14ac:dyDescent="0.25">
      <c r="A492"/>
      <c r="B492"/>
    </row>
    <row r="493" spans="1:2" ht="13.2" x14ac:dyDescent="0.25">
      <c r="A493"/>
      <c r="B493"/>
    </row>
    <row r="494" spans="1:2" ht="13.2" x14ac:dyDescent="0.25">
      <c r="A494"/>
      <c r="B494"/>
    </row>
    <row r="495" spans="1:2" ht="13.2" x14ac:dyDescent="0.25">
      <c r="A495"/>
      <c r="B495"/>
    </row>
    <row r="496" spans="1:2" ht="13.2" x14ac:dyDescent="0.25">
      <c r="A496"/>
      <c r="B496"/>
    </row>
    <row r="497" spans="1:2" ht="13.2" x14ac:dyDescent="0.25">
      <c r="A497"/>
      <c r="B497"/>
    </row>
    <row r="498" spans="1:2" ht="13.2" x14ac:dyDescent="0.25">
      <c r="A498"/>
      <c r="B498"/>
    </row>
    <row r="499" spans="1:2" ht="13.2" x14ac:dyDescent="0.25">
      <c r="A499"/>
      <c r="B499"/>
    </row>
    <row r="500" spans="1:2" ht="13.2" x14ac:dyDescent="0.25">
      <c r="A500"/>
      <c r="B500"/>
    </row>
    <row r="501" spans="1:2" ht="13.2" x14ac:dyDescent="0.25">
      <c r="A501"/>
      <c r="B501"/>
    </row>
    <row r="502" spans="1:2" ht="13.2" x14ac:dyDescent="0.25">
      <c r="A502"/>
      <c r="B502"/>
    </row>
    <row r="503" spans="1:2" ht="13.2" x14ac:dyDescent="0.25">
      <c r="A503"/>
      <c r="B503"/>
    </row>
    <row r="504" spans="1:2" ht="13.2" x14ac:dyDescent="0.25">
      <c r="A504"/>
      <c r="B504"/>
    </row>
    <row r="505" spans="1:2" ht="13.2" x14ac:dyDescent="0.25">
      <c r="A505"/>
      <c r="B505"/>
    </row>
    <row r="506" spans="1:2" ht="13.2" x14ac:dyDescent="0.25">
      <c r="A506"/>
      <c r="B506"/>
    </row>
    <row r="507" spans="1:2" ht="13.2" x14ac:dyDescent="0.25">
      <c r="A507"/>
      <c r="B507"/>
    </row>
    <row r="508" spans="1:2" ht="13.2" x14ac:dyDescent="0.25">
      <c r="A508"/>
      <c r="B508"/>
    </row>
    <row r="509" spans="1:2" ht="13.2" x14ac:dyDescent="0.25">
      <c r="A509"/>
      <c r="B509"/>
    </row>
    <row r="510" spans="1:2" ht="13.2" x14ac:dyDescent="0.25">
      <c r="A510"/>
      <c r="B510"/>
    </row>
    <row r="511" spans="1:2" ht="13.2" x14ac:dyDescent="0.25">
      <c r="A511"/>
      <c r="B511"/>
    </row>
    <row r="512" spans="1:2" ht="13.2" x14ac:dyDescent="0.25">
      <c r="A512"/>
      <c r="B512"/>
    </row>
    <row r="513" spans="1:2" ht="13.2" x14ac:dyDescent="0.25">
      <c r="A513"/>
      <c r="B513"/>
    </row>
    <row r="514" spans="1:2" ht="13.2" x14ac:dyDescent="0.25">
      <c r="A514"/>
      <c r="B514"/>
    </row>
    <row r="515" spans="1:2" ht="13.2" x14ac:dyDescent="0.25">
      <c r="A515"/>
      <c r="B515"/>
    </row>
    <row r="516" spans="1:2" ht="13.2" x14ac:dyDescent="0.25">
      <c r="A516"/>
      <c r="B516"/>
    </row>
    <row r="517" spans="1:2" ht="13.2" x14ac:dyDescent="0.25">
      <c r="A517"/>
      <c r="B517"/>
    </row>
    <row r="518" spans="1:2" ht="13.2" x14ac:dyDescent="0.25">
      <c r="A518"/>
      <c r="B518"/>
    </row>
    <row r="519" spans="1:2" ht="13.2" x14ac:dyDescent="0.25">
      <c r="A519"/>
      <c r="B519"/>
    </row>
    <row r="520" spans="1:2" ht="13.2" x14ac:dyDescent="0.25">
      <c r="A520"/>
      <c r="B520"/>
    </row>
    <row r="521" spans="1:2" ht="13.2" x14ac:dyDescent="0.25">
      <c r="A521"/>
      <c r="B521"/>
    </row>
    <row r="522" spans="1:2" ht="13.2" x14ac:dyDescent="0.25">
      <c r="A522"/>
      <c r="B522"/>
    </row>
    <row r="523" spans="1:2" ht="13.2" x14ac:dyDescent="0.25">
      <c r="A523"/>
      <c r="B523"/>
    </row>
    <row r="524" spans="1:2" ht="13.2" x14ac:dyDescent="0.25">
      <c r="A524"/>
      <c r="B524"/>
    </row>
    <row r="525" spans="1:2" ht="13.2" x14ac:dyDescent="0.25">
      <c r="A525"/>
      <c r="B525"/>
    </row>
    <row r="526" spans="1:2" ht="13.2" x14ac:dyDescent="0.25">
      <c r="A526"/>
      <c r="B526"/>
    </row>
    <row r="527" spans="1:2" ht="13.2" x14ac:dyDescent="0.25">
      <c r="A527"/>
      <c r="B527"/>
    </row>
    <row r="528" spans="1:2" ht="13.2" x14ac:dyDescent="0.25">
      <c r="A528"/>
      <c r="B528"/>
    </row>
    <row r="529" spans="1:2" ht="13.2" x14ac:dyDescent="0.25">
      <c r="A529"/>
      <c r="B529"/>
    </row>
    <row r="530" spans="1:2" ht="13.2" x14ac:dyDescent="0.25">
      <c r="A530"/>
      <c r="B530"/>
    </row>
    <row r="531" spans="1:2" ht="13.2" x14ac:dyDescent="0.25">
      <c r="A531"/>
      <c r="B531"/>
    </row>
    <row r="532" spans="1:2" ht="13.2" x14ac:dyDescent="0.25">
      <c r="A532"/>
      <c r="B532"/>
    </row>
    <row r="533" spans="1:2" ht="13.2" x14ac:dyDescent="0.25">
      <c r="A533"/>
      <c r="B533"/>
    </row>
    <row r="534" spans="1:2" ht="13.2" x14ac:dyDescent="0.25">
      <c r="A534"/>
      <c r="B534"/>
    </row>
    <row r="535" spans="1:2" ht="13.2" x14ac:dyDescent="0.25">
      <c r="A535"/>
      <c r="B535"/>
    </row>
    <row r="536" spans="1:2" ht="13.2" x14ac:dyDescent="0.25">
      <c r="A536"/>
      <c r="B536"/>
    </row>
    <row r="537" spans="1:2" ht="13.2" x14ac:dyDescent="0.25">
      <c r="A537"/>
      <c r="B537"/>
    </row>
    <row r="538" spans="1:2" ht="13.2" x14ac:dyDescent="0.25">
      <c r="A538"/>
      <c r="B538"/>
    </row>
    <row r="539" spans="1:2" ht="13.2" x14ac:dyDescent="0.25">
      <c r="A539"/>
      <c r="B539"/>
    </row>
    <row r="540" spans="1:2" ht="13.2" x14ac:dyDescent="0.25">
      <c r="A540"/>
      <c r="B540"/>
    </row>
    <row r="541" spans="1:2" ht="13.2" x14ac:dyDescent="0.25">
      <c r="A541"/>
      <c r="B541"/>
    </row>
    <row r="542" spans="1:2" ht="13.2" x14ac:dyDescent="0.25">
      <c r="A542"/>
      <c r="B542"/>
    </row>
    <row r="543" spans="1:2" ht="13.2" x14ac:dyDescent="0.25">
      <c r="A543"/>
      <c r="B543"/>
    </row>
    <row r="544" spans="1:2" ht="13.2" x14ac:dyDescent="0.25">
      <c r="A544"/>
      <c r="B544"/>
    </row>
    <row r="545" spans="1:2" ht="13.2" x14ac:dyDescent="0.25">
      <c r="A545"/>
      <c r="B545"/>
    </row>
    <row r="546" spans="1:2" ht="13.2" x14ac:dyDescent="0.25">
      <c r="A546"/>
      <c r="B546"/>
    </row>
    <row r="547" spans="1:2" ht="13.2" x14ac:dyDescent="0.25">
      <c r="A547"/>
      <c r="B547"/>
    </row>
    <row r="548" spans="1:2" ht="13.2" x14ac:dyDescent="0.25">
      <c r="A548"/>
      <c r="B548"/>
    </row>
    <row r="549" spans="1:2" ht="13.2" x14ac:dyDescent="0.25">
      <c r="A549"/>
      <c r="B549"/>
    </row>
    <row r="550" spans="1:2" ht="13.2" x14ac:dyDescent="0.25">
      <c r="A550"/>
      <c r="B550"/>
    </row>
    <row r="551" spans="1:2" ht="13.2" x14ac:dyDescent="0.25">
      <c r="A551"/>
      <c r="B551"/>
    </row>
    <row r="552" spans="1:2" ht="13.2" x14ac:dyDescent="0.25">
      <c r="A552"/>
      <c r="B552"/>
    </row>
    <row r="553" spans="1:2" ht="13.2" x14ac:dyDescent="0.25">
      <c r="A553"/>
      <c r="B553"/>
    </row>
    <row r="554" spans="1:2" ht="13.2" x14ac:dyDescent="0.25">
      <c r="A554"/>
      <c r="B554"/>
    </row>
    <row r="555" spans="1:2" ht="13.2" x14ac:dyDescent="0.25">
      <c r="A555"/>
      <c r="B555"/>
    </row>
    <row r="556" spans="1:2" ht="13.2" x14ac:dyDescent="0.25">
      <c r="A556"/>
      <c r="B556"/>
    </row>
    <row r="557" spans="1:2" ht="13.2" x14ac:dyDescent="0.25">
      <c r="A557"/>
      <c r="B557"/>
    </row>
    <row r="558" spans="1:2" ht="13.2" x14ac:dyDescent="0.25">
      <c r="A558"/>
      <c r="B558"/>
    </row>
    <row r="559" spans="1:2" ht="13.2" x14ac:dyDescent="0.25">
      <c r="A559"/>
      <c r="B559"/>
    </row>
    <row r="560" spans="1:2" ht="13.2" x14ac:dyDescent="0.25">
      <c r="A560"/>
      <c r="B560"/>
    </row>
    <row r="561" spans="1:2" ht="13.2" x14ac:dyDescent="0.25">
      <c r="A561"/>
      <c r="B561"/>
    </row>
    <row r="562" spans="1:2" ht="13.2" x14ac:dyDescent="0.25">
      <c r="A562"/>
      <c r="B562"/>
    </row>
    <row r="563" spans="1:2" ht="13.2" x14ac:dyDescent="0.25">
      <c r="A563"/>
      <c r="B563"/>
    </row>
    <row r="564" spans="1:2" ht="13.2" x14ac:dyDescent="0.25">
      <c r="A564"/>
      <c r="B564"/>
    </row>
    <row r="565" spans="1:2" ht="13.2" x14ac:dyDescent="0.25">
      <c r="A565"/>
      <c r="B565"/>
    </row>
    <row r="566" spans="1:2" ht="13.2" x14ac:dyDescent="0.25">
      <c r="A566"/>
      <c r="B566"/>
    </row>
    <row r="567" spans="1:2" ht="13.2" x14ac:dyDescent="0.25">
      <c r="A567"/>
      <c r="B567"/>
    </row>
    <row r="568" spans="1:2" ht="13.2" x14ac:dyDescent="0.25">
      <c r="A568"/>
      <c r="B568"/>
    </row>
    <row r="569" spans="1:2" ht="13.2" x14ac:dyDescent="0.25">
      <c r="A569"/>
      <c r="B569"/>
    </row>
    <row r="570" spans="1:2" ht="13.2" x14ac:dyDescent="0.25">
      <c r="A570"/>
      <c r="B570"/>
    </row>
    <row r="571" spans="1:2" ht="13.2" x14ac:dyDescent="0.25">
      <c r="A571"/>
      <c r="B571"/>
    </row>
    <row r="572" spans="1:2" ht="13.2" x14ac:dyDescent="0.25">
      <c r="A572"/>
      <c r="B572"/>
    </row>
    <row r="573" spans="1:2" ht="13.2" x14ac:dyDescent="0.25">
      <c r="A573"/>
      <c r="B573"/>
    </row>
    <row r="574" spans="1:2" ht="13.2" x14ac:dyDescent="0.25">
      <c r="A574"/>
      <c r="B574"/>
    </row>
    <row r="575" spans="1:2" ht="13.2" x14ac:dyDescent="0.25">
      <c r="A575"/>
      <c r="B575"/>
    </row>
    <row r="576" spans="1:2" ht="13.2" x14ac:dyDescent="0.25">
      <c r="A576"/>
      <c r="B576"/>
    </row>
    <row r="577" spans="1:2" ht="13.2" x14ac:dyDescent="0.25">
      <c r="A577"/>
      <c r="B577"/>
    </row>
    <row r="578" spans="1:2" ht="13.2" x14ac:dyDescent="0.25">
      <c r="A578"/>
      <c r="B578"/>
    </row>
    <row r="579" spans="1:2" ht="13.2" x14ac:dyDescent="0.25">
      <c r="A579"/>
      <c r="B579"/>
    </row>
    <row r="580" spans="1:2" ht="13.2" x14ac:dyDescent="0.25">
      <c r="A580"/>
      <c r="B580"/>
    </row>
    <row r="581" spans="1:2" ht="13.2" x14ac:dyDescent="0.25">
      <c r="A581"/>
      <c r="B581"/>
    </row>
    <row r="582" spans="1:2" ht="13.2" x14ac:dyDescent="0.25">
      <c r="A582"/>
      <c r="B582"/>
    </row>
    <row r="583" spans="1:2" ht="13.2" x14ac:dyDescent="0.25">
      <c r="A583"/>
      <c r="B583"/>
    </row>
    <row r="584" spans="1:2" ht="13.2" x14ac:dyDescent="0.25">
      <c r="A584"/>
      <c r="B584"/>
    </row>
    <row r="585" spans="1:2" ht="13.2" x14ac:dyDescent="0.25">
      <c r="A585"/>
      <c r="B585"/>
    </row>
    <row r="586" spans="1:2" ht="13.2" x14ac:dyDescent="0.25">
      <c r="A586"/>
      <c r="B586"/>
    </row>
    <row r="587" spans="1:2" ht="13.2" x14ac:dyDescent="0.25">
      <c r="A587"/>
      <c r="B587"/>
    </row>
    <row r="588" spans="1:2" ht="13.2" x14ac:dyDescent="0.25">
      <c r="A588"/>
      <c r="B588"/>
    </row>
    <row r="589" spans="1:2" ht="13.2" x14ac:dyDescent="0.25">
      <c r="A589"/>
      <c r="B589"/>
    </row>
    <row r="590" spans="1:2" ht="13.2" x14ac:dyDescent="0.25">
      <c r="A590"/>
      <c r="B590"/>
    </row>
    <row r="591" spans="1:2" ht="13.2" x14ac:dyDescent="0.25">
      <c r="A591"/>
      <c r="B591"/>
    </row>
    <row r="592" spans="1:2" ht="13.2" x14ac:dyDescent="0.25">
      <c r="A592"/>
      <c r="B592"/>
    </row>
    <row r="593" spans="1:2" ht="13.2" x14ac:dyDescent="0.25">
      <c r="A593"/>
      <c r="B593"/>
    </row>
    <row r="594" spans="1:2" ht="13.2" x14ac:dyDescent="0.25">
      <c r="A594"/>
      <c r="B594"/>
    </row>
    <row r="595" spans="1:2" ht="13.2" x14ac:dyDescent="0.25">
      <c r="A595"/>
      <c r="B595"/>
    </row>
    <row r="596" spans="1:2" ht="13.2" x14ac:dyDescent="0.25">
      <c r="A596"/>
      <c r="B596"/>
    </row>
    <row r="597" spans="1:2" ht="13.2" x14ac:dyDescent="0.25">
      <c r="A597"/>
      <c r="B597"/>
    </row>
    <row r="598" spans="1:2" ht="13.2" x14ac:dyDescent="0.25">
      <c r="A598"/>
      <c r="B598"/>
    </row>
    <row r="599" spans="1:2" ht="13.2" x14ac:dyDescent="0.25">
      <c r="A599"/>
      <c r="B599"/>
    </row>
    <row r="600" spans="1:2" ht="13.2" x14ac:dyDescent="0.25">
      <c r="A600"/>
      <c r="B600"/>
    </row>
    <row r="601" spans="1:2" ht="13.2" x14ac:dyDescent="0.25">
      <c r="A601"/>
      <c r="B601"/>
    </row>
    <row r="602" spans="1:2" ht="13.2" x14ac:dyDescent="0.25">
      <c r="A602"/>
      <c r="B602"/>
    </row>
    <row r="603" spans="1:2" ht="13.2" x14ac:dyDescent="0.25">
      <c r="A603"/>
      <c r="B603"/>
    </row>
    <row r="604" spans="1:2" ht="13.2" x14ac:dyDescent="0.25">
      <c r="A604"/>
      <c r="B604"/>
    </row>
    <row r="605" spans="1:2" ht="13.2" x14ac:dyDescent="0.25">
      <c r="A605"/>
      <c r="B605"/>
    </row>
    <row r="606" spans="1:2" ht="13.2" x14ac:dyDescent="0.25">
      <c r="A606"/>
      <c r="B606"/>
    </row>
    <row r="607" spans="1:2" ht="13.2" x14ac:dyDescent="0.25">
      <c r="A607"/>
      <c r="B607"/>
    </row>
    <row r="608" spans="1:2" ht="13.2" x14ac:dyDescent="0.25">
      <c r="A608"/>
      <c r="B608"/>
    </row>
    <row r="609" spans="1:2" ht="13.2" x14ac:dyDescent="0.25">
      <c r="A609"/>
      <c r="B609"/>
    </row>
    <row r="612" spans="1:2" x14ac:dyDescent="0.25">
      <c r="A612" s="210" t="s">
        <v>124</v>
      </c>
      <c r="B612" s="209">
        <f>(SUM(ExportarAExcel!O:O))</f>
        <v>153461495.70965502</v>
      </c>
    </row>
  </sheetData>
  <mergeCells count="9">
    <mergeCell ref="D1:E1"/>
    <mergeCell ref="D2:E2"/>
    <mergeCell ref="D3:E3"/>
    <mergeCell ref="D4:E4"/>
    <mergeCell ref="A1:B1"/>
    <mergeCell ref="A2:B2"/>
    <mergeCell ref="A3:B3"/>
    <mergeCell ref="A4:B4"/>
    <mergeCell ref="A5:B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8"/>
  <sheetViews>
    <sheetView topLeftCell="C37" workbookViewId="0">
      <selection activeCell="F54" sqref="F54"/>
    </sheetView>
  </sheetViews>
  <sheetFormatPr baseColWidth="10" defaultColWidth="9.109375" defaultRowHeight="12.6" x14ac:dyDescent="0.25"/>
  <cols>
    <col min="1" max="1" width="10.33203125" style="212" bestFit="1" customWidth="1"/>
    <col min="2" max="2" width="24" style="211" bestFit="1" customWidth="1"/>
    <col min="3" max="3" width="10.33203125" style="212" bestFit="1" customWidth="1"/>
    <col min="4" max="4" width="45.109375" style="211" bestFit="1" customWidth="1"/>
    <col min="5" max="5" width="10.33203125" style="212" bestFit="1" customWidth="1"/>
    <col min="6" max="6" width="68.6640625" style="211" bestFit="1" customWidth="1"/>
    <col min="7" max="7" width="10.33203125" style="212" bestFit="1" customWidth="1"/>
    <col min="8" max="8" width="60.44140625" style="211" bestFit="1" customWidth="1"/>
    <col min="9" max="9" width="18.5546875" style="212" bestFit="1" customWidth="1"/>
    <col min="10" max="10" width="66.44140625" style="211" bestFit="1" customWidth="1"/>
    <col min="11" max="11" width="16.88671875" style="212" bestFit="1" customWidth="1"/>
    <col min="12" max="12" width="17" style="212" bestFit="1" customWidth="1"/>
    <col min="13" max="13" width="57.88671875" style="212" bestFit="1" customWidth="1"/>
    <col min="14" max="15" width="13.33203125" style="212" bestFit="1" customWidth="1"/>
    <col min="16" max="16384" width="9.109375" style="211"/>
  </cols>
  <sheetData>
    <row r="1" spans="1:15" x14ac:dyDescent="0.25">
      <c r="A1" s="213" t="s">
        <v>514</v>
      </c>
      <c r="B1" s="213" t="s">
        <v>513</v>
      </c>
      <c r="C1" s="213" t="s">
        <v>512</v>
      </c>
      <c r="D1" s="213" t="s">
        <v>511</v>
      </c>
      <c r="E1" s="213" t="s">
        <v>510</v>
      </c>
      <c r="F1" s="213" t="s">
        <v>509</v>
      </c>
      <c r="G1" s="213" t="s">
        <v>508</v>
      </c>
      <c r="H1" s="213" t="s">
        <v>507</v>
      </c>
      <c r="I1" s="213" t="s">
        <v>506</v>
      </c>
      <c r="J1" s="213" t="s">
        <v>505</v>
      </c>
      <c r="K1" s="213" t="s">
        <v>504</v>
      </c>
      <c r="L1" s="213" t="s">
        <v>503</v>
      </c>
      <c r="M1" s="213" t="s">
        <v>502</v>
      </c>
      <c r="N1" s="213" t="s">
        <v>501</v>
      </c>
      <c r="O1" s="213" t="s">
        <v>500</v>
      </c>
    </row>
    <row r="2" spans="1:15" x14ac:dyDescent="0.25">
      <c r="A2" s="212" t="s">
        <v>473</v>
      </c>
      <c r="B2" s="211" t="s">
        <v>422</v>
      </c>
      <c r="C2" s="212" t="s">
        <v>494</v>
      </c>
      <c r="D2" s="211" t="s">
        <v>421</v>
      </c>
      <c r="E2" s="212" t="s">
        <v>498</v>
      </c>
      <c r="F2" s="211" t="s">
        <v>420</v>
      </c>
      <c r="G2" s="212" t="s">
        <v>499</v>
      </c>
      <c r="H2" s="211" t="s">
        <v>419</v>
      </c>
      <c r="I2" s="212" t="s">
        <v>418</v>
      </c>
      <c r="J2" s="211" t="s">
        <v>417</v>
      </c>
      <c r="K2" s="212">
        <v>9178980.5615999997</v>
      </c>
      <c r="L2" s="212" t="s">
        <v>418</v>
      </c>
      <c r="M2" s="212" t="s">
        <v>416</v>
      </c>
      <c r="N2" s="212">
        <v>9178980.5615999997</v>
      </c>
      <c r="O2" s="212" t="s">
        <v>470</v>
      </c>
    </row>
    <row r="3" spans="1:15" x14ac:dyDescent="0.25">
      <c r="A3" s="212" t="s">
        <v>473</v>
      </c>
      <c r="B3" s="211" t="s">
        <v>422</v>
      </c>
      <c r="C3" s="212" t="s">
        <v>494</v>
      </c>
      <c r="D3" s="211" t="s">
        <v>421</v>
      </c>
      <c r="E3" s="212" t="s">
        <v>498</v>
      </c>
      <c r="F3" s="211" t="s">
        <v>420</v>
      </c>
      <c r="G3" s="212" t="s">
        <v>497</v>
      </c>
      <c r="H3" s="211" t="s">
        <v>415</v>
      </c>
      <c r="I3" s="212" t="s">
        <v>414</v>
      </c>
      <c r="J3" s="211" t="s">
        <v>413</v>
      </c>
      <c r="K3" s="212">
        <v>1000000</v>
      </c>
      <c r="L3" s="212" t="s">
        <v>414</v>
      </c>
      <c r="M3" s="212" t="s">
        <v>412</v>
      </c>
      <c r="N3" s="212">
        <v>1000000</v>
      </c>
      <c r="O3" s="212" t="s">
        <v>470</v>
      </c>
    </row>
    <row r="4" spans="1:15" x14ac:dyDescent="0.25">
      <c r="A4" s="212" t="s">
        <v>473</v>
      </c>
      <c r="B4" s="211" t="s">
        <v>422</v>
      </c>
      <c r="C4" s="212" t="s">
        <v>494</v>
      </c>
      <c r="D4" s="211" t="s">
        <v>421</v>
      </c>
      <c r="E4" s="212" t="s">
        <v>496</v>
      </c>
      <c r="F4" s="211" t="s">
        <v>411</v>
      </c>
      <c r="G4" s="212" t="s">
        <v>495</v>
      </c>
      <c r="H4" s="211" t="s">
        <v>410</v>
      </c>
      <c r="I4" s="212" t="s">
        <v>409</v>
      </c>
      <c r="J4" s="211" t="s">
        <v>408</v>
      </c>
      <c r="K4" s="212">
        <v>2346456</v>
      </c>
      <c r="L4" s="212" t="s">
        <v>409</v>
      </c>
      <c r="M4" s="212" t="s">
        <v>407</v>
      </c>
      <c r="N4" s="212">
        <v>2346456</v>
      </c>
      <c r="O4" s="212" t="s">
        <v>470</v>
      </c>
    </row>
    <row r="5" spans="1:15" x14ac:dyDescent="0.25">
      <c r="A5" s="212" t="s">
        <v>473</v>
      </c>
      <c r="B5" s="211" t="s">
        <v>422</v>
      </c>
      <c r="C5" s="212" t="s">
        <v>494</v>
      </c>
      <c r="D5" s="211" t="s">
        <v>421</v>
      </c>
      <c r="E5" s="212" t="s">
        <v>496</v>
      </c>
      <c r="F5" s="211" t="s">
        <v>411</v>
      </c>
      <c r="G5" s="212" t="s">
        <v>495</v>
      </c>
      <c r="H5" s="211" t="s">
        <v>410</v>
      </c>
      <c r="I5" s="212" t="s">
        <v>406</v>
      </c>
      <c r="J5" s="211" t="s">
        <v>405</v>
      </c>
      <c r="K5" s="212">
        <v>754731.25216000003</v>
      </c>
      <c r="L5" s="212" t="s">
        <v>406</v>
      </c>
      <c r="M5" s="212" t="s">
        <v>404</v>
      </c>
      <c r="N5" s="212">
        <v>754731.25216000003</v>
      </c>
      <c r="O5" s="212" t="s">
        <v>470</v>
      </c>
    </row>
    <row r="6" spans="1:15" x14ac:dyDescent="0.25">
      <c r="A6" s="212" t="s">
        <v>473</v>
      </c>
      <c r="B6" s="211" t="s">
        <v>422</v>
      </c>
      <c r="C6" s="212" t="s">
        <v>494</v>
      </c>
      <c r="D6" s="211" t="s">
        <v>421</v>
      </c>
      <c r="E6" s="212" t="s">
        <v>493</v>
      </c>
      <c r="F6" s="211" t="s">
        <v>403</v>
      </c>
      <c r="G6" s="212" t="s">
        <v>492</v>
      </c>
      <c r="H6" s="211" t="s">
        <v>402</v>
      </c>
      <c r="I6" s="212" t="s">
        <v>401</v>
      </c>
      <c r="J6" s="211" t="s">
        <v>400</v>
      </c>
      <c r="K6" s="212">
        <v>11811634.7896</v>
      </c>
      <c r="L6" s="212" t="s">
        <v>401</v>
      </c>
      <c r="M6" s="212" t="s">
        <v>399</v>
      </c>
      <c r="N6" s="212">
        <v>11811634.7896</v>
      </c>
      <c r="O6" s="212" t="s">
        <v>470</v>
      </c>
    </row>
    <row r="7" spans="1:15" x14ac:dyDescent="0.25">
      <c r="A7" s="212" t="s">
        <v>473</v>
      </c>
      <c r="B7" s="211" t="s">
        <v>422</v>
      </c>
      <c r="C7" s="212" t="s">
        <v>486</v>
      </c>
      <c r="D7" s="211" t="s">
        <v>398</v>
      </c>
      <c r="E7" s="212" t="s">
        <v>491</v>
      </c>
      <c r="F7" s="211" t="s">
        <v>397</v>
      </c>
      <c r="G7" s="212" t="s">
        <v>490</v>
      </c>
      <c r="H7" s="211" t="s">
        <v>396</v>
      </c>
      <c r="I7" s="212" t="s">
        <v>395</v>
      </c>
      <c r="J7" s="211" t="s">
        <v>394</v>
      </c>
      <c r="K7" s="212">
        <v>6268660</v>
      </c>
      <c r="L7" s="212" t="s">
        <v>395</v>
      </c>
      <c r="M7" s="212" t="s">
        <v>393</v>
      </c>
      <c r="N7" s="212">
        <v>6268660</v>
      </c>
      <c r="O7" s="212" t="s">
        <v>470</v>
      </c>
    </row>
    <row r="8" spans="1:15" x14ac:dyDescent="0.25">
      <c r="A8" s="212" t="s">
        <v>473</v>
      </c>
      <c r="B8" s="211" t="s">
        <v>422</v>
      </c>
      <c r="C8" s="212" t="s">
        <v>486</v>
      </c>
      <c r="D8" s="211" t="s">
        <v>398</v>
      </c>
      <c r="E8" s="212" t="s">
        <v>489</v>
      </c>
      <c r="F8" s="211" t="s">
        <v>392</v>
      </c>
      <c r="G8" s="212" t="s">
        <v>391</v>
      </c>
      <c r="H8" s="211" t="s">
        <v>390</v>
      </c>
      <c r="I8" s="212" t="s">
        <v>391</v>
      </c>
      <c r="J8" s="211" t="s">
        <v>390</v>
      </c>
      <c r="K8" s="212">
        <v>5936409</v>
      </c>
      <c r="L8" s="212" t="s">
        <v>391</v>
      </c>
      <c r="M8" s="212" t="s">
        <v>389</v>
      </c>
      <c r="N8" s="212">
        <v>5936409</v>
      </c>
      <c r="O8" s="212" t="s">
        <v>470</v>
      </c>
    </row>
    <row r="9" spans="1:15" x14ac:dyDescent="0.25">
      <c r="A9" s="212" t="s">
        <v>473</v>
      </c>
      <c r="B9" s="211" t="s">
        <v>422</v>
      </c>
      <c r="C9" s="212" t="s">
        <v>486</v>
      </c>
      <c r="D9" s="211" t="s">
        <v>398</v>
      </c>
      <c r="E9" s="212" t="s">
        <v>489</v>
      </c>
      <c r="F9" s="211" t="s">
        <v>392</v>
      </c>
      <c r="G9" s="212" t="s">
        <v>388</v>
      </c>
      <c r="H9" s="211" t="s">
        <v>387</v>
      </c>
      <c r="I9" s="212" t="s">
        <v>388</v>
      </c>
      <c r="J9" s="211" t="s">
        <v>387</v>
      </c>
      <c r="K9" s="212">
        <v>5798646</v>
      </c>
      <c r="L9" s="212" t="s">
        <v>388</v>
      </c>
      <c r="M9" s="212" t="s">
        <v>386</v>
      </c>
      <c r="N9" s="212">
        <v>5798646</v>
      </c>
      <c r="O9" s="212" t="s">
        <v>470</v>
      </c>
    </row>
    <row r="10" spans="1:15" x14ac:dyDescent="0.25">
      <c r="A10" s="212" t="s">
        <v>473</v>
      </c>
      <c r="B10" s="211" t="s">
        <v>422</v>
      </c>
      <c r="C10" s="212" t="s">
        <v>486</v>
      </c>
      <c r="D10" s="211" t="s">
        <v>398</v>
      </c>
      <c r="E10" s="212" t="s">
        <v>485</v>
      </c>
      <c r="F10" s="211" t="s">
        <v>385</v>
      </c>
      <c r="G10" s="212" t="s">
        <v>488</v>
      </c>
      <c r="H10" s="211" t="s">
        <v>384</v>
      </c>
      <c r="I10" s="212" t="s">
        <v>383</v>
      </c>
      <c r="J10" s="211" t="s">
        <v>382</v>
      </c>
      <c r="K10" s="212">
        <v>8572583</v>
      </c>
      <c r="L10" s="212" t="s">
        <v>383</v>
      </c>
      <c r="M10" s="212" t="s">
        <v>381</v>
      </c>
      <c r="N10" s="212">
        <v>8572583</v>
      </c>
      <c r="O10" s="212" t="s">
        <v>470</v>
      </c>
    </row>
    <row r="11" spans="1:15" x14ac:dyDescent="0.25">
      <c r="A11" s="212" t="s">
        <v>473</v>
      </c>
      <c r="B11" s="211" t="s">
        <v>422</v>
      </c>
      <c r="C11" s="212" t="s">
        <v>486</v>
      </c>
      <c r="D11" s="211" t="s">
        <v>398</v>
      </c>
      <c r="E11" s="212" t="s">
        <v>485</v>
      </c>
      <c r="F11" s="211" t="s">
        <v>385</v>
      </c>
      <c r="G11" s="212" t="s">
        <v>488</v>
      </c>
      <c r="H11" s="211" t="s">
        <v>384</v>
      </c>
      <c r="I11" s="212" t="s">
        <v>380</v>
      </c>
      <c r="J11" s="211" t="s">
        <v>379</v>
      </c>
      <c r="K11" s="212">
        <v>9312202.9299999997</v>
      </c>
      <c r="L11" s="212" t="s">
        <v>380</v>
      </c>
      <c r="M11" s="212" t="s">
        <v>378</v>
      </c>
      <c r="N11" s="212">
        <v>9312202.9299999997</v>
      </c>
      <c r="O11" s="212" t="s">
        <v>470</v>
      </c>
    </row>
    <row r="12" spans="1:15" x14ac:dyDescent="0.25">
      <c r="A12" s="212" t="s">
        <v>473</v>
      </c>
      <c r="B12" s="211" t="s">
        <v>422</v>
      </c>
      <c r="C12" s="212" t="s">
        <v>486</v>
      </c>
      <c r="D12" s="211" t="s">
        <v>398</v>
      </c>
      <c r="E12" s="212" t="s">
        <v>485</v>
      </c>
      <c r="F12" s="211" t="s">
        <v>385</v>
      </c>
      <c r="G12" s="212" t="s">
        <v>488</v>
      </c>
      <c r="H12" s="211" t="s">
        <v>384</v>
      </c>
      <c r="I12" s="212" t="s">
        <v>377</v>
      </c>
      <c r="J12" s="211" t="s">
        <v>376</v>
      </c>
      <c r="K12" s="212">
        <v>79000</v>
      </c>
      <c r="L12" s="212" t="s">
        <v>377</v>
      </c>
      <c r="M12" s="212" t="s">
        <v>279</v>
      </c>
      <c r="N12" s="212">
        <v>79000</v>
      </c>
      <c r="O12" s="212" t="s">
        <v>470</v>
      </c>
    </row>
    <row r="13" spans="1:15" x14ac:dyDescent="0.25">
      <c r="A13" s="212" t="s">
        <v>473</v>
      </c>
      <c r="B13" s="211" t="s">
        <v>422</v>
      </c>
      <c r="C13" s="212" t="s">
        <v>486</v>
      </c>
      <c r="D13" s="211" t="s">
        <v>398</v>
      </c>
      <c r="E13" s="212" t="s">
        <v>485</v>
      </c>
      <c r="F13" s="211" t="s">
        <v>385</v>
      </c>
      <c r="G13" s="212" t="s">
        <v>487</v>
      </c>
      <c r="H13" s="211" t="s">
        <v>375</v>
      </c>
      <c r="I13" s="212" t="s">
        <v>374</v>
      </c>
      <c r="J13" s="211" t="s">
        <v>373</v>
      </c>
      <c r="K13" s="212">
        <v>-2433000</v>
      </c>
      <c r="L13" s="212" t="s">
        <v>374</v>
      </c>
      <c r="M13" s="212" t="s">
        <v>372</v>
      </c>
      <c r="N13" s="212">
        <v>-2433000</v>
      </c>
      <c r="O13" s="212" t="s">
        <v>470</v>
      </c>
    </row>
    <row r="14" spans="1:15" x14ac:dyDescent="0.25">
      <c r="A14" s="212" t="s">
        <v>473</v>
      </c>
      <c r="B14" s="211" t="s">
        <v>422</v>
      </c>
      <c r="C14" s="212" t="s">
        <v>486</v>
      </c>
      <c r="D14" s="211" t="s">
        <v>398</v>
      </c>
      <c r="E14" s="212" t="s">
        <v>485</v>
      </c>
      <c r="F14" s="211" t="s">
        <v>385</v>
      </c>
      <c r="G14" s="212" t="s">
        <v>487</v>
      </c>
      <c r="H14" s="211" t="s">
        <v>375</v>
      </c>
      <c r="I14" s="212" t="s">
        <v>371</v>
      </c>
      <c r="J14" s="211" t="s">
        <v>370</v>
      </c>
      <c r="K14" s="212">
        <v>4539824.5060000001</v>
      </c>
      <c r="L14" s="212" t="s">
        <v>371</v>
      </c>
      <c r="M14" s="212" t="s">
        <v>369</v>
      </c>
      <c r="N14" s="212">
        <v>4539824.5060000001</v>
      </c>
      <c r="O14" s="212" t="s">
        <v>470</v>
      </c>
    </row>
    <row r="15" spans="1:15" x14ac:dyDescent="0.25">
      <c r="A15" s="212" t="s">
        <v>473</v>
      </c>
      <c r="B15" s="211" t="s">
        <v>422</v>
      </c>
      <c r="C15" s="212" t="s">
        <v>486</v>
      </c>
      <c r="D15" s="211" t="s">
        <v>398</v>
      </c>
      <c r="E15" s="212" t="s">
        <v>485</v>
      </c>
      <c r="F15" s="211" t="s">
        <v>385</v>
      </c>
      <c r="G15" s="212" t="s">
        <v>484</v>
      </c>
      <c r="H15" s="211" t="s">
        <v>368</v>
      </c>
      <c r="I15" s="212" t="s">
        <v>367</v>
      </c>
      <c r="J15" s="211" t="s">
        <v>366</v>
      </c>
      <c r="K15" s="212">
        <v>-605765</v>
      </c>
      <c r="L15" s="212" t="s">
        <v>367</v>
      </c>
      <c r="M15" s="212" t="s">
        <v>365</v>
      </c>
      <c r="N15" s="212">
        <v>-605765</v>
      </c>
      <c r="O15" s="212" t="s">
        <v>470</v>
      </c>
    </row>
    <row r="16" spans="1:15" x14ac:dyDescent="0.25">
      <c r="A16" s="212" t="s">
        <v>473</v>
      </c>
      <c r="B16" s="211" t="s">
        <v>422</v>
      </c>
      <c r="C16" s="212" t="s">
        <v>486</v>
      </c>
      <c r="D16" s="211" t="s">
        <v>398</v>
      </c>
      <c r="E16" s="212" t="s">
        <v>485</v>
      </c>
      <c r="F16" s="211" t="s">
        <v>385</v>
      </c>
      <c r="G16" s="212" t="s">
        <v>484</v>
      </c>
      <c r="H16" s="211" t="s">
        <v>368</v>
      </c>
      <c r="I16" s="212" t="s">
        <v>364</v>
      </c>
      <c r="J16" s="211" t="s">
        <v>363</v>
      </c>
      <c r="K16" s="212">
        <v>1175953</v>
      </c>
      <c r="L16" s="212" t="s">
        <v>364</v>
      </c>
      <c r="M16" s="212" t="s">
        <v>362</v>
      </c>
      <c r="N16" s="212">
        <v>1175953</v>
      </c>
      <c r="O16" s="212" t="s">
        <v>470</v>
      </c>
    </row>
    <row r="17" spans="1:15" x14ac:dyDescent="0.25">
      <c r="A17" s="212" t="s">
        <v>473</v>
      </c>
      <c r="B17" s="211" t="s">
        <v>422</v>
      </c>
      <c r="C17" s="212" t="s">
        <v>486</v>
      </c>
      <c r="D17" s="211" t="s">
        <v>398</v>
      </c>
      <c r="E17" s="212" t="s">
        <v>485</v>
      </c>
      <c r="F17" s="211" t="s">
        <v>385</v>
      </c>
      <c r="G17" s="212" t="s">
        <v>484</v>
      </c>
      <c r="H17" s="211" t="s">
        <v>368</v>
      </c>
      <c r="I17" s="212" t="s">
        <v>361</v>
      </c>
      <c r="J17" s="211" t="s">
        <v>360</v>
      </c>
      <c r="K17" s="212">
        <v>375388.06063999998</v>
      </c>
      <c r="L17" s="212" t="s">
        <v>361</v>
      </c>
      <c r="M17" s="212" t="s">
        <v>359</v>
      </c>
      <c r="N17" s="212">
        <v>375388.06063999998</v>
      </c>
      <c r="O17" s="212" t="s">
        <v>470</v>
      </c>
    </row>
    <row r="18" spans="1:15" x14ac:dyDescent="0.25">
      <c r="A18" s="212" t="s">
        <v>473</v>
      </c>
      <c r="B18" s="211" t="s">
        <v>422</v>
      </c>
      <c r="C18" s="212" t="s">
        <v>483</v>
      </c>
      <c r="D18" s="211" t="s">
        <v>358</v>
      </c>
      <c r="E18" s="212" t="s">
        <v>357</v>
      </c>
      <c r="F18" s="211" t="s">
        <v>356</v>
      </c>
      <c r="G18" s="212" t="s">
        <v>357</v>
      </c>
      <c r="H18" s="211" t="s">
        <v>356</v>
      </c>
      <c r="I18" s="212" t="s">
        <v>357</v>
      </c>
      <c r="J18" s="211" t="s">
        <v>356</v>
      </c>
      <c r="K18" s="212">
        <v>2575578.79</v>
      </c>
      <c r="L18" s="212" t="s">
        <v>357</v>
      </c>
      <c r="M18" s="212" t="s">
        <v>355</v>
      </c>
      <c r="N18" s="212">
        <v>2575578.79</v>
      </c>
      <c r="O18" s="212" t="s">
        <v>470</v>
      </c>
    </row>
    <row r="19" spans="1:15" x14ac:dyDescent="0.25">
      <c r="A19" s="212" t="s">
        <v>473</v>
      </c>
      <c r="B19" s="211" t="s">
        <v>422</v>
      </c>
      <c r="C19" s="212" t="s">
        <v>483</v>
      </c>
      <c r="D19" s="211" t="s">
        <v>358</v>
      </c>
      <c r="E19" s="212" t="s">
        <v>354</v>
      </c>
      <c r="F19" s="211" t="s">
        <v>353</v>
      </c>
      <c r="G19" s="212" t="s">
        <v>354</v>
      </c>
      <c r="H19" s="211" t="s">
        <v>353</v>
      </c>
      <c r="I19" s="212" t="s">
        <v>354</v>
      </c>
      <c r="J19" s="211" t="s">
        <v>353</v>
      </c>
      <c r="K19" s="212">
        <v>37815</v>
      </c>
      <c r="L19" s="212" t="s">
        <v>354</v>
      </c>
      <c r="M19" s="212" t="s">
        <v>352</v>
      </c>
      <c r="N19" s="212">
        <v>37815</v>
      </c>
      <c r="O19" s="212" t="s">
        <v>470</v>
      </c>
    </row>
    <row r="20" spans="1:15" x14ac:dyDescent="0.25">
      <c r="A20" s="212" t="s">
        <v>473</v>
      </c>
      <c r="B20" s="211" t="s">
        <v>422</v>
      </c>
      <c r="C20" s="212" t="s">
        <v>479</v>
      </c>
      <c r="D20" s="211" t="s">
        <v>351</v>
      </c>
      <c r="E20" s="212" t="s">
        <v>482</v>
      </c>
      <c r="F20" s="211" t="s">
        <v>350</v>
      </c>
      <c r="G20" s="212" t="s">
        <v>349</v>
      </c>
      <c r="H20" s="211" t="s">
        <v>348</v>
      </c>
      <c r="I20" s="212" t="s">
        <v>349</v>
      </c>
      <c r="J20" s="211" t="s">
        <v>348</v>
      </c>
      <c r="K20" s="212">
        <v>3540000</v>
      </c>
      <c r="L20" s="212" t="s">
        <v>349</v>
      </c>
      <c r="M20" s="212" t="s">
        <v>328</v>
      </c>
      <c r="N20" s="212">
        <v>3540000</v>
      </c>
      <c r="O20" s="212" t="s">
        <v>470</v>
      </c>
    </row>
    <row r="21" spans="1:15" x14ac:dyDescent="0.25">
      <c r="A21" s="212" t="s">
        <v>473</v>
      </c>
      <c r="B21" s="211" t="s">
        <v>422</v>
      </c>
      <c r="C21" s="212" t="s">
        <v>479</v>
      </c>
      <c r="D21" s="211" t="s">
        <v>351</v>
      </c>
      <c r="E21" s="212" t="s">
        <v>481</v>
      </c>
      <c r="F21" s="211" t="s">
        <v>347</v>
      </c>
      <c r="G21" s="212" t="s">
        <v>346</v>
      </c>
      <c r="H21" s="211" t="s">
        <v>345</v>
      </c>
      <c r="I21" s="212" t="s">
        <v>346</v>
      </c>
      <c r="J21" s="211" t="s">
        <v>345</v>
      </c>
      <c r="K21" s="212">
        <v>88630477</v>
      </c>
      <c r="L21" s="212" t="s">
        <v>346</v>
      </c>
      <c r="M21" s="212" t="s">
        <v>331</v>
      </c>
      <c r="N21" s="212">
        <v>88630477</v>
      </c>
      <c r="O21" s="212" t="s">
        <v>470</v>
      </c>
    </row>
    <row r="22" spans="1:15" x14ac:dyDescent="0.25">
      <c r="A22" s="212" t="s">
        <v>473</v>
      </c>
      <c r="B22" s="211" t="s">
        <v>422</v>
      </c>
      <c r="C22" s="212" t="s">
        <v>479</v>
      </c>
      <c r="D22" s="211" t="s">
        <v>351</v>
      </c>
      <c r="E22" s="212" t="s">
        <v>480</v>
      </c>
      <c r="F22" s="211" t="s">
        <v>344</v>
      </c>
      <c r="G22" s="212" t="s">
        <v>343</v>
      </c>
      <c r="H22" s="211" t="s">
        <v>342</v>
      </c>
      <c r="I22" s="212" t="s">
        <v>343</v>
      </c>
      <c r="J22" s="211" t="s">
        <v>342</v>
      </c>
      <c r="K22" s="212">
        <v>1084000</v>
      </c>
      <c r="L22" s="212" t="s">
        <v>343</v>
      </c>
      <c r="M22" s="212" t="s">
        <v>341</v>
      </c>
      <c r="N22" s="212">
        <v>1084000</v>
      </c>
      <c r="O22" s="212" t="s">
        <v>470</v>
      </c>
    </row>
    <row r="23" spans="1:15" x14ac:dyDescent="0.25">
      <c r="A23" s="212" t="s">
        <v>473</v>
      </c>
      <c r="B23" s="211" t="s">
        <v>422</v>
      </c>
      <c r="C23" s="212" t="s">
        <v>479</v>
      </c>
      <c r="D23" s="211" t="s">
        <v>351</v>
      </c>
      <c r="E23" s="212" t="s">
        <v>480</v>
      </c>
      <c r="F23" s="211" t="s">
        <v>344</v>
      </c>
      <c r="G23" s="212" t="s">
        <v>340</v>
      </c>
      <c r="H23" s="211" t="s">
        <v>339</v>
      </c>
      <c r="I23" s="212" t="s">
        <v>340</v>
      </c>
      <c r="J23" s="211" t="s">
        <v>339</v>
      </c>
      <c r="K23" s="212">
        <v>6914857</v>
      </c>
      <c r="L23" s="212" t="s">
        <v>340</v>
      </c>
      <c r="M23" s="212" t="s">
        <v>338</v>
      </c>
      <c r="N23" s="212">
        <v>6914857</v>
      </c>
      <c r="O23" s="212" t="s">
        <v>470</v>
      </c>
    </row>
    <row r="24" spans="1:15" x14ac:dyDescent="0.25">
      <c r="A24" s="212" t="s">
        <v>473</v>
      </c>
      <c r="B24" s="211" t="s">
        <v>422</v>
      </c>
      <c r="C24" s="212" t="s">
        <v>479</v>
      </c>
      <c r="D24" s="211" t="s">
        <v>351</v>
      </c>
      <c r="E24" s="212" t="s">
        <v>480</v>
      </c>
      <c r="F24" s="211" t="s">
        <v>344</v>
      </c>
      <c r="G24" s="212" t="s">
        <v>337</v>
      </c>
      <c r="H24" s="211" t="s">
        <v>336</v>
      </c>
      <c r="I24" s="212" t="s">
        <v>337</v>
      </c>
      <c r="J24" s="211" t="s">
        <v>336</v>
      </c>
      <c r="K24" s="212">
        <v>279900</v>
      </c>
      <c r="L24" s="212" t="s">
        <v>337</v>
      </c>
      <c r="M24" s="212" t="s">
        <v>335</v>
      </c>
      <c r="N24" s="212">
        <v>279900</v>
      </c>
      <c r="O24" s="212" t="s">
        <v>470</v>
      </c>
    </row>
    <row r="25" spans="1:15" x14ac:dyDescent="0.25">
      <c r="A25" s="212" t="s">
        <v>473</v>
      </c>
      <c r="B25" s="211" t="s">
        <v>422</v>
      </c>
      <c r="C25" s="212" t="s">
        <v>479</v>
      </c>
      <c r="D25" s="211" t="s">
        <v>351</v>
      </c>
      <c r="E25" s="212" t="s">
        <v>478</v>
      </c>
      <c r="F25" s="211" t="s">
        <v>334</v>
      </c>
      <c r="G25" s="212" t="s">
        <v>333</v>
      </c>
      <c r="H25" s="211" t="s">
        <v>332</v>
      </c>
      <c r="I25" s="212" t="s">
        <v>333</v>
      </c>
      <c r="J25" s="211" t="s">
        <v>332</v>
      </c>
      <c r="K25" s="212">
        <v>-14947902</v>
      </c>
      <c r="L25" s="212" t="s">
        <v>333</v>
      </c>
      <c r="M25" s="212" t="s">
        <v>331</v>
      </c>
      <c r="N25" s="212">
        <v>-14947902</v>
      </c>
      <c r="O25" s="212" t="s">
        <v>470</v>
      </c>
    </row>
    <row r="26" spans="1:15" x14ac:dyDescent="0.25">
      <c r="A26" s="212" t="s">
        <v>473</v>
      </c>
      <c r="B26" s="211" t="s">
        <v>422</v>
      </c>
      <c r="C26" s="212" t="s">
        <v>479</v>
      </c>
      <c r="D26" s="211" t="s">
        <v>351</v>
      </c>
      <c r="E26" s="212" t="s">
        <v>478</v>
      </c>
      <c r="F26" s="211" t="s">
        <v>334</v>
      </c>
      <c r="G26" s="212" t="s">
        <v>330</v>
      </c>
      <c r="H26" s="211" t="s">
        <v>329</v>
      </c>
      <c r="I26" s="212" t="s">
        <v>330</v>
      </c>
      <c r="J26" s="211" t="s">
        <v>329</v>
      </c>
      <c r="K26" s="212">
        <v>-3772000</v>
      </c>
      <c r="L26" s="212" t="s">
        <v>330</v>
      </c>
      <c r="M26" s="212" t="s">
        <v>328</v>
      </c>
      <c r="N26" s="212">
        <v>-3772000</v>
      </c>
      <c r="O26" s="212" t="s">
        <v>470</v>
      </c>
    </row>
    <row r="27" spans="1:15" x14ac:dyDescent="0.25">
      <c r="A27" s="212" t="s">
        <v>473</v>
      </c>
      <c r="B27" s="211" t="s">
        <v>422</v>
      </c>
      <c r="C27" s="212" t="s">
        <v>479</v>
      </c>
      <c r="D27" s="211" t="s">
        <v>351</v>
      </c>
      <c r="E27" s="212" t="s">
        <v>478</v>
      </c>
      <c r="F27" s="211" t="s">
        <v>334</v>
      </c>
      <c r="G27" s="212" t="s">
        <v>327</v>
      </c>
      <c r="H27" s="211" t="s">
        <v>326</v>
      </c>
      <c r="I27" s="212" t="s">
        <v>327</v>
      </c>
      <c r="J27" s="211" t="s">
        <v>326</v>
      </c>
      <c r="K27" s="212">
        <v>-62045</v>
      </c>
      <c r="L27" s="212" t="s">
        <v>327</v>
      </c>
      <c r="M27" s="212" t="s">
        <v>325</v>
      </c>
      <c r="N27" s="212">
        <v>-62045</v>
      </c>
      <c r="O27" s="212" t="s">
        <v>470</v>
      </c>
    </row>
    <row r="28" spans="1:15" x14ac:dyDescent="0.25">
      <c r="A28" s="212" t="s">
        <v>473</v>
      </c>
      <c r="B28" s="211" t="s">
        <v>422</v>
      </c>
      <c r="C28" s="212" t="s">
        <v>476</v>
      </c>
      <c r="D28" s="211" t="s">
        <v>324</v>
      </c>
      <c r="E28" s="212" t="s">
        <v>477</v>
      </c>
      <c r="F28" s="211" t="s">
        <v>323</v>
      </c>
      <c r="G28" s="212" t="s">
        <v>322</v>
      </c>
      <c r="H28" s="211" t="s">
        <v>321</v>
      </c>
      <c r="I28" s="212" t="s">
        <v>322</v>
      </c>
      <c r="J28" s="211" t="s">
        <v>321</v>
      </c>
      <c r="K28" s="212">
        <v>1278000</v>
      </c>
      <c r="L28" s="212" t="s">
        <v>322</v>
      </c>
      <c r="M28" s="212" t="s">
        <v>320</v>
      </c>
      <c r="N28" s="212">
        <v>1278000</v>
      </c>
      <c r="O28" s="212" t="s">
        <v>470</v>
      </c>
    </row>
    <row r="29" spans="1:15" x14ac:dyDescent="0.25">
      <c r="A29" s="212" t="s">
        <v>473</v>
      </c>
      <c r="B29" s="211" t="s">
        <v>422</v>
      </c>
      <c r="C29" s="212" t="s">
        <v>476</v>
      </c>
      <c r="D29" s="211" t="s">
        <v>324</v>
      </c>
      <c r="E29" s="212" t="s">
        <v>477</v>
      </c>
      <c r="F29" s="211" t="s">
        <v>323</v>
      </c>
      <c r="G29" s="212" t="s">
        <v>319</v>
      </c>
      <c r="H29" s="211" t="s">
        <v>318</v>
      </c>
      <c r="I29" s="212" t="s">
        <v>319</v>
      </c>
      <c r="J29" s="211" t="s">
        <v>318</v>
      </c>
      <c r="K29" s="212">
        <v>4721002</v>
      </c>
      <c r="L29" s="212" t="s">
        <v>319</v>
      </c>
      <c r="M29" s="212" t="s">
        <v>317</v>
      </c>
      <c r="N29" s="212">
        <v>4721002</v>
      </c>
      <c r="O29" s="212" t="s">
        <v>470</v>
      </c>
    </row>
    <row r="30" spans="1:15" x14ac:dyDescent="0.25">
      <c r="A30" s="212" t="s">
        <v>473</v>
      </c>
      <c r="B30" s="211" t="s">
        <v>422</v>
      </c>
      <c r="C30" s="212" t="s">
        <v>476</v>
      </c>
      <c r="D30" s="211" t="s">
        <v>324</v>
      </c>
      <c r="E30" s="212" t="s">
        <v>475</v>
      </c>
      <c r="F30" s="211" t="s">
        <v>316</v>
      </c>
      <c r="G30" s="212" t="s">
        <v>315</v>
      </c>
      <c r="H30" s="211" t="s">
        <v>314</v>
      </c>
      <c r="I30" s="212" t="s">
        <v>315</v>
      </c>
      <c r="J30" s="211" t="s">
        <v>314</v>
      </c>
      <c r="K30" s="212">
        <v>-1081695</v>
      </c>
      <c r="L30" s="212" t="s">
        <v>315</v>
      </c>
      <c r="M30" s="212" t="s">
        <v>305</v>
      </c>
      <c r="N30" s="212">
        <v>-1081695</v>
      </c>
      <c r="O30" s="212" t="s">
        <v>470</v>
      </c>
    </row>
    <row r="31" spans="1:15" x14ac:dyDescent="0.25">
      <c r="A31" s="212" t="s">
        <v>473</v>
      </c>
      <c r="B31" s="211" t="s">
        <v>422</v>
      </c>
      <c r="C31" s="212" t="s">
        <v>472</v>
      </c>
      <c r="D31" s="211" t="s">
        <v>313</v>
      </c>
      <c r="E31" s="212" t="s">
        <v>474</v>
      </c>
      <c r="F31" s="211" t="s">
        <v>312</v>
      </c>
      <c r="G31" s="212" t="s">
        <v>311</v>
      </c>
      <c r="H31" s="211" t="s">
        <v>310</v>
      </c>
      <c r="I31" s="212" t="s">
        <v>311</v>
      </c>
      <c r="J31" s="211" t="s">
        <v>310</v>
      </c>
      <c r="K31" s="212">
        <v>100858</v>
      </c>
      <c r="L31" s="212" t="s">
        <v>311</v>
      </c>
      <c r="M31" s="212" t="s">
        <v>309</v>
      </c>
      <c r="N31" s="212">
        <v>100858</v>
      </c>
      <c r="O31" s="212" t="s">
        <v>470</v>
      </c>
    </row>
    <row r="32" spans="1:15" x14ac:dyDescent="0.25">
      <c r="A32" s="212" t="s">
        <v>473</v>
      </c>
      <c r="B32" s="211" t="s">
        <v>422</v>
      </c>
      <c r="C32" s="212" t="s">
        <v>472</v>
      </c>
      <c r="D32" s="211" t="s">
        <v>313</v>
      </c>
      <c r="E32" s="212" t="s">
        <v>471</v>
      </c>
      <c r="F32" s="211" t="s">
        <v>308</v>
      </c>
      <c r="G32" s="212" t="s">
        <v>307</v>
      </c>
      <c r="H32" s="211" t="s">
        <v>306</v>
      </c>
      <c r="I32" s="212" t="s">
        <v>307</v>
      </c>
      <c r="J32" s="211" t="s">
        <v>306</v>
      </c>
      <c r="K32" s="212">
        <v>50945</v>
      </c>
      <c r="L32" s="212" t="s">
        <v>307</v>
      </c>
      <c r="M32" s="212" t="s">
        <v>305</v>
      </c>
      <c r="N32" s="212">
        <v>50945</v>
      </c>
      <c r="O32" s="212" t="s">
        <v>470</v>
      </c>
    </row>
    <row r="33" spans="1:15" x14ac:dyDescent="0.25">
      <c r="A33" s="212" t="s">
        <v>437</v>
      </c>
      <c r="B33" s="211" t="s">
        <v>303</v>
      </c>
      <c r="C33" s="212" t="s">
        <v>455</v>
      </c>
      <c r="D33" s="211" t="s">
        <v>302</v>
      </c>
      <c r="E33" s="212" t="s">
        <v>465</v>
      </c>
      <c r="F33" s="211" t="s">
        <v>301</v>
      </c>
      <c r="G33" s="212" t="s">
        <v>469</v>
      </c>
      <c r="H33" s="211" t="s">
        <v>300</v>
      </c>
      <c r="I33" s="212" t="s">
        <v>299</v>
      </c>
      <c r="J33" s="211" t="s">
        <v>298</v>
      </c>
      <c r="K33" s="212">
        <v>163572</v>
      </c>
      <c r="L33" s="212" t="s">
        <v>299</v>
      </c>
      <c r="M33" s="212" t="s">
        <v>297</v>
      </c>
      <c r="N33" s="212">
        <v>163572</v>
      </c>
      <c r="O33" s="212">
        <v>163572</v>
      </c>
    </row>
    <row r="34" spans="1:15" x14ac:dyDescent="0.25">
      <c r="A34" s="212" t="s">
        <v>437</v>
      </c>
      <c r="B34" s="211" t="s">
        <v>303</v>
      </c>
      <c r="C34" s="212" t="s">
        <v>455</v>
      </c>
      <c r="D34" s="211" t="s">
        <v>302</v>
      </c>
      <c r="E34" s="212" t="s">
        <v>465</v>
      </c>
      <c r="F34" s="211" t="s">
        <v>301</v>
      </c>
      <c r="G34" s="212" t="s">
        <v>469</v>
      </c>
      <c r="H34" s="211" t="s">
        <v>300</v>
      </c>
      <c r="I34" s="212" t="s">
        <v>296</v>
      </c>
      <c r="J34" s="211" t="s">
        <v>295</v>
      </c>
      <c r="K34" s="212">
        <v>592704</v>
      </c>
      <c r="L34" s="212" t="s">
        <v>296</v>
      </c>
      <c r="M34" s="212" t="s">
        <v>294</v>
      </c>
      <c r="N34" s="212">
        <v>592704</v>
      </c>
      <c r="O34" s="212">
        <v>592704</v>
      </c>
    </row>
    <row r="35" spans="1:15" x14ac:dyDescent="0.25">
      <c r="A35" s="212" t="s">
        <v>437</v>
      </c>
      <c r="B35" s="211" t="s">
        <v>303</v>
      </c>
      <c r="C35" s="212" t="s">
        <v>455</v>
      </c>
      <c r="D35" s="211" t="s">
        <v>302</v>
      </c>
      <c r="E35" s="212" t="s">
        <v>465</v>
      </c>
      <c r="F35" s="211" t="s">
        <v>301</v>
      </c>
      <c r="G35" s="212" t="s">
        <v>468</v>
      </c>
      <c r="H35" s="211" t="s">
        <v>293</v>
      </c>
      <c r="I35" s="212" t="s">
        <v>292</v>
      </c>
      <c r="J35" s="211" t="s">
        <v>291</v>
      </c>
      <c r="K35" s="212">
        <v>800</v>
      </c>
      <c r="L35" s="212" t="s">
        <v>292</v>
      </c>
      <c r="M35" s="212" t="s">
        <v>290</v>
      </c>
      <c r="N35" s="212">
        <v>800</v>
      </c>
      <c r="O35" s="212">
        <v>800</v>
      </c>
    </row>
    <row r="36" spans="1:15" x14ac:dyDescent="0.25">
      <c r="A36" s="212" t="s">
        <v>437</v>
      </c>
      <c r="B36" s="211" t="s">
        <v>303</v>
      </c>
      <c r="C36" s="212" t="s">
        <v>455</v>
      </c>
      <c r="D36" s="211" t="s">
        <v>302</v>
      </c>
      <c r="E36" s="212" t="s">
        <v>465</v>
      </c>
      <c r="F36" s="211" t="s">
        <v>301</v>
      </c>
      <c r="G36" s="212" t="s">
        <v>467</v>
      </c>
      <c r="H36" s="211" t="s">
        <v>289</v>
      </c>
      <c r="I36" s="212" t="s">
        <v>288</v>
      </c>
      <c r="J36" s="211" t="s">
        <v>287</v>
      </c>
      <c r="K36" s="212">
        <v>1750351</v>
      </c>
      <c r="L36" s="212" t="s">
        <v>288</v>
      </c>
      <c r="M36" s="212" t="s">
        <v>286</v>
      </c>
      <c r="N36" s="212">
        <v>1750351</v>
      </c>
      <c r="O36" s="212">
        <v>1750351</v>
      </c>
    </row>
    <row r="37" spans="1:15" x14ac:dyDescent="0.25">
      <c r="A37" s="212" t="s">
        <v>437</v>
      </c>
      <c r="B37" s="211" t="s">
        <v>303</v>
      </c>
      <c r="C37" s="212" t="s">
        <v>455</v>
      </c>
      <c r="D37" s="211" t="s">
        <v>302</v>
      </c>
      <c r="E37" s="212" t="s">
        <v>465</v>
      </c>
      <c r="F37" s="211" t="s">
        <v>301</v>
      </c>
      <c r="G37" s="212" t="s">
        <v>467</v>
      </c>
      <c r="H37" s="211" t="s">
        <v>289</v>
      </c>
      <c r="I37" s="212" t="s">
        <v>285</v>
      </c>
      <c r="J37" s="211" t="s">
        <v>284</v>
      </c>
      <c r="K37" s="212">
        <v>165235</v>
      </c>
      <c r="L37" s="212" t="s">
        <v>285</v>
      </c>
      <c r="M37" s="212" t="s">
        <v>283</v>
      </c>
      <c r="N37" s="212">
        <v>165235</v>
      </c>
      <c r="O37" s="212">
        <v>165235</v>
      </c>
    </row>
    <row r="38" spans="1:15" x14ac:dyDescent="0.25">
      <c r="A38" s="212" t="s">
        <v>437</v>
      </c>
      <c r="B38" s="211" t="s">
        <v>303</v>
      </c>
      <c r="C38" s="212" t="s">
        <v>455</v>
      </c>
      <c r="D38" s="211" t="s">
        <v>302</v>
      </c>
      <c r="E38" s="212" t="s">
        <v>465</v>
      </c>
      <c r="F38" s="211" t="s">
        <v>301</v>
      </c>
      <c r="G38" s="212" t="s">
        <v>466</v>
      </c>
      <c r="H38" s="211" t="s">
        <v>282</v>
      </c>
      <c r="I38" s="212" t="s">
        <v>281</v>
      </c>
      <c r="J38" s="211" t="s">
        <v>280</v>
      </c>
      <c r="K38" s="212">
        <v>-921000</v>
      </c>
      <c r="L38" s="212" t="s">
        <v>281</v>
      </c>
      <c r="M38" s="212" t="s">
        <v>279</v>
      </c>
      <c r="N38" s="212">
        <v>-921000</v>
      </c>
      <c r="O38" s="212">
        <v>-921000</v>
      </c>
    </row>
    <row r="39" spans="1:15" x14ac:dyDescent="0.25">
      <c r="A39" s="212" t="s">
        <v>437</v>
      </c>
      <c r="B39" s="211" t="s">
        <v>303</v>
      </c>
      <c r="C39" s="212" t="s">
        <v>455</v>
      </c>
      <c r="D39" s="211" t="s">
        <v>302</v>
      </c>
      <c r="E39" s="212" t="s">
        <v>465</v>
      </c>
      <c r="F39" s="211" t="s">
        <v>301</v>
      </c>
      <c r="G39" s="212" t="s">
        <v>466</v>
      </c>
      <c r="H39" s="211" t="s">
        <v>282</v>
      </c>
      <c r="I39" s="212" t="s">
        <v>278</v>
      </c>
      <c r="J39" s="211" t="s">
        <v>277</v>
      </c>
      <c r="K39" s="212">
        <v>229000</v>
      </c>
      <c r="L39" s="212" t="s">
        <v>278</v>
      </c>
      <c r="M39" s="212" t="s">
        <v>276</v>
      </c>
      <c r="N39" s="212">
        <v>229000</v>
      </c>
      <c r="O39" s="212">
        <v>229000</v>
      </c>
    </row>
    <row r="40" spans="1:15" x14ac:dyDescent="0.25">
      <c r="A40" s="212" t="s">
        <v>437</v>
      </c>
      <c r="B40" s="211" t="s">
        <v>303</v>
      </c>
      <c r="C40" s="212" t="s">
        <v>455</v>
      </c>
      <c r="D40" s="211" t="s">
        <v>302</v>
      </c>
      <c r="E40" s="212" t="s">
        <v>465</v>
      </c>
      <c r="F40" s="211" t="s">
        <v>301</v>
      </c>
      <c r="G40" s="212" t="s">
        <v>464</v>
      </c>
      <c r="H40" s="211" t="s">
        <v>275</v>
      </c>
      <c r="I40" s="212" t="s">
        <v>274</v>
      </c>
      <c r="J40" s="211" t="s">
        <v>273</v>
      </c>
      <c r="K40" s="212">
        <v>-2238000</v>
      </c>
      <c r="L40" s="212" t="s">
        <v>274</v>
      </c>
      <c r="M40" s="212" t="s">
        <v>272</v>
      </c>
      <c r="N40" s="212">
        <v>-2238000</v>
      </c>
      <c r="O40" s="212">
        <v>-2238000</v>
      </c>
    </row>
    <row r="41" spans="1:15" x14ac:dyDescent="0.25">
      <c r="A41" s="212" t="s">
        <v>437</v>
      </c>
      <c r="B41" s="211" t="s">
        <v>303</v>
      </c>
      <c r="C41" s="212" t="s">
        <v>455</v>
      </c>
      <c r="D41" s="211" t="s">
        <v>302</v>
      </c>
      <c r="E41" s="212" t="s">
        <v>461</v>
      </c>
      <c r="F41" s="211" t="s">
        <v>271</v>
      </c>
      <c r="G41" s="212" t="s">
        <v>462</v>
      </c>
      <c r="H41" s="211" t="s">
        <v>270</v>
      </c>
      <c r="I41" s="212" t="s">
        <v>269</v>
      </c>
      <c r="J41" s="211" t="s">
        <v>268</v>
      </c>
      <c r="K41" s="212">
        <v>898330</v>
      </c>
      <c r="L41" s="212" t="s">
        <v>463</v>
      </c>
      <c r="M41" s="212" t="s">
        <v>267</v>
      </c>
      <c r="N41" s="212">
        <v>898330</v>
      </c>
      <c r="O41" s="212">
        <v>898330</v>
      </c>
    </row>
    <row r="42" spans="1:15" x14ac:dyDescent="0.25">
      <c r="A42" s="212" t="s">
        <v>437</v>
      </c>
      <c r="B42" s="211" t="s">
        <v>303</v>
      </c>
      <c r="C42" s="212" t="s">
        <v>455</v>
      </c>
      <c r="D42" s="211" t="s">
        <v>302</v>
      </c>
      <c r="E42" s="212" t="s">
        <v>461</v>
      </c>
      <c r="F42" s="211" t="s">
        <v>271</v>
      </c>
      <c r="G42" s="212" t="s">
        <v>462</v>
      </c>
      <c r="H42" s="211" t="s">
        <v>270</v>
      </c>
      <c r="I42" s="212" t="s">
        <v>266</v>
      </c>
      <c r="J42" s="211" t="s">
        <v>265</v>
      </c>
      <c r="K42" s="212">
        <v>28139</v>
      </c>
      <c r="L42" s="212" t="s">
        <v>266</v>
      </c>
      <c r="M42" s="212" t="s">
        <v>264</v>
      </c>
      <c r="N42" s="212">
        <v>28139</v>
      </c>
      <c r="O42" s="212">
        <v>28139</v>
      </c>
    </row>
    <row r="43" spans="1:15" x14ac:dyDescent="0.25">
      <c r="A43" s="212" t="s">
        <v>437</v>
      </c>
      <c r="B43" s="211" t="s">
        <v>303</v>
      </c>
      <c r="C43" s="212" t="s">
        <v>455</v>
      </c>
      <c r="D43" s="211" t="s">
        <v>302</v>
      </c>
      <c r="E43" s="212" t="s">
        <v>461</v>
      </c>
      <c r="F43" s="211" t="s">
        <v>271</v>
      </c>
      <c r="G43" s="212" t="s">
        <v>462</v>
      </c>
      <c r="H43" s="211" t="s">
        <v>270</v>
      </c>
      <c r="I43" s="212" t="s">
        <v>263</v>
      </c>
      <c r="J43" s="211" t="s">
        <v>262</v>
      </c>
      <c r="K43" s="212">
        <v>5796</v>
      </c>
      <c r="L43" s="212" t="s">
        <v>263</v>
      </c>
      <c r="M43" s="212" t="s">
        <v>261</v>
      </c>
      <c r="N43" s="212">
        <v>5796</v>
      </c>
      <c r="O43" s="212">
        <v>5796</v>
      </c>
    </row>
    <row r="44" spans="1:15" x14ac:dyDescent="0.25">
      <c r="A44" s="212" t="s">
        <v>437</v>
      </c>
      <c r="B44" s="211" t="s">
        <v>303</v>
      </c>
      <c r="C44" s="212" t="s">
        <v>455</v>
      </c>
      <c r="D44" s="211" t="s">
        <v>302</v>
      </c>
      <c r="E44" s="212" t="s">
        <v>461</v>
      </c>
      <c r="F44" s="211" t="s">
        <v>271</v>
      </c>
      <c r="G44" s="212" t="s">
        <v>460</v>
      </c>
      <c r="H44" s="211" t="s">
        <v>260</v>
      </c>
      <c r="I44" s="212" t="s">
        <v>259</v>
      </c>
      <c r="J44" s="211" t="s">
        <v>258</v>
      </c>
      <c r="K44" s="212">
        <v>-352000</v>
      </c>
      <c r="L44" s="212" t="s">
        <v>259</v>
      </c>
      <c r="M44" s="212" t="s">
        <v>257</v>
      </c>
      <c r="N44" s="212">
        <v>-352000</v>
      </c>
      <c r="O44" s="212">
        <v>-352000</v>
      </c>
    </row>
    <row r="45" spans="1:15" x14ac:dyDescent="0.25">
      <c r="A45" s="212" t="s">
        <v>437</v>
      </c>
      <c r="B45" s="211" t="s">
        <v>303</v>
      </c>
      <c r="C45" s="212" t="s">
        <v>455</v>
      </c>
      <c r="D45" s="211" t="s">
        <v>302</v>
      </c>
      <c r="E45" s="212" t="s">
        <v>457</v>
      </c>
      <c r="F45" s="211" t="s">
        <v>256</v>
      </c>
      <c r="G45" s="212" t="s">
        <v>459</v>
      </c>
      <c r="H45" s="211" t="s">
        <v>255</v>
      </c>
      <c r="I45" s="212" t="s">
        <v>254</v>
      </c>
      <c r="J45" s="211" t="s">
        <v>253</v>
      </c>
      <c r="K45" s="212">
        <v>16400</v>
      </c>
      <c r="L45" s="212" t="s">
        <v>254</v>
      </c>
      <c r="M45" s="212" t="s">
        <v>252</v>
      </c>
      <c r="N45" s="212">
        <v>16400</v>
      </c>
      <c r="O45" s="212">
        <v>16400</v>
      </c>
    </row>
    <row r="46" spans="1:15" x14ac:dyDescent="0.25">
      <c r="A46" s="212" t="s">
        <v>437</v>
      </c>
      <c r="B46" s="211" t="s">
        <v>303</v>
      </c>
      <c r="C46" s="212" t="s">
        <v>455</v>
      </c>
      <c r="D46" s="211" t="s">
        <v>302</v>
      </c>
      <c r="E46" s="212" t="s">
        <v>457</v>
      </c>
      <c r="F46" s="211" t="s">
        <v>256</v>
      </c>
      <c r="G46" s="212" t="s">
        <v>459</v>
      </c>
      <c r="H46" s="211" t="s">
        <v>255</v>
      </c>
      <c r="I46" s="212" t="s">
        <v>251</v>
      </c>
      <c r="J46" s="211" t="s">
        <v>250</v>
      </c>
      <c r="K46" s="212">
        <v>2000</v>
      </c>
      <c r="L46" s="212" t="s">
        <v>251</v>
      </c>
      <c r="M46" s="212" t="s">
        <v>249</v>
      </c>
      <c r="N46" s="212">
        <v>2000</v>
      </c>
      <c r="O46" s="212">
        <v>2000</v>
      </c>
    </row>
    <row r="47" spans="1:15" x14ac:dyDescent="0.25">
      <c r="A47" s="212" t="s">
        <v>437</v>
      </c>
      <c r="B47" s="211" t="s">
        <v>303</v>
      </c>
      <c r="C47" s="212" t="s">
        <v>455</v>
      </c>
      <c r="D47" s="211" t="s">
        <v>302</v>
      </c>
      <c r="E47" s="212" t="s">
        <v>457</v>
      </c>
      <c r="F47" s="211" t="s">
        <v>256</v>
      </c>
      <c r="G47" s="212" t="s">
        <v>459</v>
      </c>
      <c r="H47" s="211" t="s">
        <v>255</v>
      </c>
      <c r="I47" s="212" t="s">
        <v>248</v>
      </c>
      <c r="J47" s="211" t="s">
        <v>247</v>
      </c>
      <c r="K47" s="212">
        <v>-36000</v>
      </c>
      <c r="L47" s="212" t="s">
        <v>248</v>
      </c>
      <c r="M47" s="212" t="s">
        <v>246</v>
      </c>
      <c r="N47" s="212">
        <v>-36000</v>
      </c>
      <c r="O47" s="212">
        <v>-36000</v>
      </c>
    </row>
    <row r="48" spans="1:15" x14ac:dyDescent="0.25">
      <c r="A48" s="212" t="s">
        <v>437</v>
      </c>
      <c r="B48" s="211" t="s">
        <v>303</v>
      </c>
      <c r="C48" s="212" t="s">
        <v>455</v>
      </c>
      <c r="D48" s="211" t="s">
        <v>302</v>
      </c>
      <c r="E48" s="212" t="s">
        <v>457</v>
      </c>
      <c r="F48" s="211" t="s">
        <v>256</v>
      </c>
      <c r="G48" s="212" t="s">
        <v>458</v>
      </c>
      <c r="H48" s="211" t="s">
        <v>245</v>
      </c>
      <c r="I48" s="212" t="s">
        <v>244</v>
      </c>
      <c r="J48" s="211" t="s">
        <v>243</v>
      </c>
      <c r="K48" s="212">
        <v>-4700</v>
      </c>
      <c r="L48" s="212" t="s">
        <v>244</v>
      </c>
      <c r="M48" s="212" t="s">
        <v>242</v>
      </c>
      <c r="N48" s="212">
        <v>-4700</v>
      </c>
      <c r="O48" s="212">
        <v>-4700</v>
      </c>
    </row>
    <row r="49" spans="1:15" x14ac:dyDescent="0.25">
      <c r="A49" s="212" t="s">
        <v>437</v>
      </c>
      <c r="B49" s="211" t="s">
        <v>303</v>
      </c>
      <c r="C49" s="212" t="s">
        <v>455</v>
      </c>
      <c r="D49" s="211" t="s">
        <v>302</v>
      </c>
      <c r="E49" s="212" t="s">
        <v>457</v>
      </c>
      <c r="F49" s="211" t="s">
        <v>256</v>
      </c>
      <c r="G49" s="212" t="s">
        <v>456</v>
      </c>
      <c r="H49" s="211" t="s">
        <v>241</v>
      </c>
      <c r="I49" s="212" t="s">
        <v>240</v>
      </c>
      <c r="J49" s="211" t="s">
        <v>239</v>
      </c>
      <c r="K49" s="212">
        <v>56420</v>
      </c>
      <c r="L49" s="212" t="s">
        <v>240</v>
      </c>
      <c r="M49" s="212" t="s">
        <v>238</v>
      </c>
      <c r="N49" s="212">
        <v>56420</v>
      </c>
      <c r="O49" s="212">
        <v>56420</v>
      </c>
    </row>
    <row r="50" spans="1:15" x14ac:dyDescent="0.25">
      <c r="A50" s="212" t="s">
        <v>437</v>
      </c>
      <c r="B50" s="211" t="s">
        <v>303</v>
      </c>
      <c r="C50" s="212" t="s">
        <v>455</v>
      </c>
      <c r="D50" s="211" t="s">
        <v>302</v>
      </c>
      <c r="E50" s="212" t="s">
        <v>454</v>
      </c>
      <c r="F50" s="211" t="s">
        <v>237</v>
      </c>
      <c r="G50" s="212" t="s">
        <v>453</v>
      </c>
      <c r="H50" s="211" t="s">
        <v>236</v>
      </c>
      <c r="I50" s="212" t="s">
        <v>235</v>
      </c>
      <c r="J50" s="211" t="s">
        <v>234</v>
      </c>
      <c r="K50" s="212">
        <v>-144000</v>
      </c>
      <c r="L50" s="212" t="s">
        <v>235</v>
      </c>
      <c r="M50" s="212" t="s">
        <v>233</v>
      </c>
      <c r="N50" s="212">
        <v>-144000</v>
      </c>
      <c r="O50" s="212">
        <v>-144000</v>
      </c>
    </row>
    <row r="51" spans="1:15" x14ac:dyDescent="0.25">
      <c r="A51" s="212" t="s">
        <v>437</v>
      </c>
      <c r="B51" s="211" t="s">
        <v>303</v>
      </c>
      <c r="C51" s="212" t="s">
        <v>455</v>
      </c>
      <c r="D51" s="211" t="s">
        <v>302</v>
      </c>
      <c r="E51" s="212" t="s">
        <v>454</v>
      </c>
      <c r="F51" s="211" t="s">
        <v>237</v>
      </c>
      <c r="G51" s="212" t="s">
        <v>453</v>
      </c>
      <c r="H51" s="211" t="s">
        <v>236</v>
      </c>
      <c r="I51" s="212" t="s">
        <v>232</v>
      </c>
      <c r="J51" s="211" t="s">
        <v>231</v>
      </c>
      <c r="K51" s="212">
        <v>9600</v>
      </c>
      <c r="L51" s="212" t="s">
        <v>232</v>
      </c>
      <c r="M51" s="212" t="s">
        <v>230</v>
      </c>
      <c r="N51" s="212">
        <v>9600</v>
      </c>
      <c r="O51" s="212">
        <v>9600</v>
      </c>
    </row>
    <row r="52" spans="1:15" x14ac:dyDescent="0.25">
      <c r="A52" s="212" t="s">
        <v>437</v>
      </c>
      <c r="B52" s="211" t="s">
        <v>303</v>
      </c>
      <c r="C52" s="212" t="s">
        <v>455</v>
      </c>
      <c r="D52" s="211" t="s">
        <v>302</v>
      </c>
      <c r="E52" s="212" t="s">
        <v>454</v>
      </c>
      <c r="F52" s="211" t="s">
        <v>237</v>
      </c>
      <c r="G52" s="212" t="s">
        <v>453</v>
      </c>
      <c r="H52" s="211" t="s">
        <v>236</v>
      </c>
      <c r="I52" s="212" t="s">
        <v>229</v>
      </c>
      <c r="J52" s="211" t="s">
        <v>228</v>
      </c>
      <c r="K52" s="212">
        <v>64000</v>
      </c>
      <c r="L52" s="212" t="s">
        <v>229</v>
      </c>
      <c r="M52" s="212" t="s">
        <v>227</v>
      </c>
      <c r="N52" s="212">
        <v>64000</v>
      </c>
      <c r="O52" s="212">
        <v>64000</v>
      </c>
    </row>
    <row r="53" spans="1:15" x14ac:dyDescent="0.25">
      <c r="A53" s="212" t="s">
        <v>437</v>
      </c>
      <c r="B53" s="211" t="s">
        <v>303</v>
      </c>
      <c r="C53" s="212" t="s">
        <v>447</v>
      </c>
      <c r="D53" s="211" t="s">
        <v>226</v>
      </c>
      <c r="E53" s="212" t="s">
        <v>452</v>
      </c>
      <c r="F53" s="211" t="s">
        <v>225</v>
      </c>
      <c r="G53" s="212" t="s">
        <v>224</v>
      </c>
      <c r="H53" s="211" t="s">
        <v>223</v>
      </c>
      <c r="I53" s="212" t="s">
        <v>224</v>
      </c>
      <c r="J53" s="211" t="s">
        <v>223</v>
      </c>
      <c r="K53" s="212">
        <v>6399000</v>
      </c>
      <c r="L53" s="212" t="s">
        <v>224</v>
      </c>
      <c r="M53" s="212" t="s">
        <v>188</v>
      </c>
      <c r="N53" s="212">
        <v>6399000</v>
      </c>
      <c r="O53" s="212">
        <v>6399000</v>
      </c>
    </row>
    <row r="54" spans="1:15" x14ac:dyDescent="0.25">
      <c r="A54" s="212" t="s">
        <v>437</v>
      </c>
      <c r="B54" s="211" t="s">
        <v>303</v>
      </c>
      <c r="C54" s="212" t="s">
        <v>447</v>
      </c>
      <c r="D54" s="211" t="s">
        <v>226</v>
      </c>
      <c r="E54" s="212" t="s">
        <v>449</v>
      </c>
      <c r="F54" s="211" t="s">
        <v>222</v>
      </c>
      <c r="G54" s="212" t="s">
        <v>451</v>
      </c>
      <c r="H54" s="211" t="s">
        <v>221</v>
      </c>
      <c r="I54" s="212" t="s">
        <v>220</v>
      </c>
      <c r="J54" s="211" t="s">
        <v>219</v>
      </c>
      <c r="K54" s="212">
        <v>15062566.42</v>
      </c>
      <c r="L54" s="212" t="s">
        <v>220</v>
      </c>
      <c r="M54" s="212" t="s">
        <v>218</v>
      </c>
      <c r="N54" s="212">
        <v>15062566.42</v>
      </c>
      <c r="O54" s="212">
        <v>15062566.42</v>
      </c>
    </row>
    <row r="55" spans="1:15" x14ac:dyDescent="0.25">
      <c r="A55" s="212" t="s">
        <v>437</v>
      </c>
      <c r="B55" s="211" t="s">
        <v>303</v>
      </c>
      <c r="C55" s="212" t="s">
        <v>447</v>
      </c>
      <c r="D55" s="211" t="s">
        <v>226</v>
      </c>
      <c r="E55" s="212" t="s">
        <v>449</v>
      </c>
      <c r="F55" s="211" t="s">
        <v>222</v>
      </c>
      <c r="G55" s="212" t="s">
        <v>450</v>
      </c>
      <c r="H55" s="211" t="s">
        <v>217</v>
      </c>
      <c r="I55" s="212" t="s">
        <v>216</v>
      </c>
      <c r="J55" s="211" t="s">
        <v>215</v>
      </c>
      <c r="K55" s="212">
        <v>-21092395</v>
      </c>
      <c r="L55" s="212" t="s">
        <v>216</v>
      </c>
      <c r="M55" s="212" t="s">
        <v>214</v>
      </c>
      <c r="N55" s="212">
        <v>-21092395</v>
      </c>
      <c r="O55" s="212">
        <v>-21092395</v>
      </c>
    </row>
    <row r="56" spans="1:15" x14ac:dyDescent="0.25">
      <c r="A56" s="212" t="s">
        <v>437</v>
      </c>
      <c r="B56" s="211" t="s">
        <v>303</v>
      </c>
      <c r="C56" s="212" t="s">
        <v>447</v>
      </c>
      <c r="D56" s="211" t="s">
        <v>226</v>
      </c>
      <c r="E56" s="212" t="s">
        <v>449</v>
      </c>
      <c r="F56" s="211" t="s">
        <v>222</v>
      </c>
      <c r="G56" s="212" t="s">
        <v>450</v>
      </c>
      <c r="H56" s="211" t="s">
        <v>217</v>
      </c>
      <c r="I56" s="212" t="s">
        <v>213</v>
      </c>
      <c r="J56" s="211" t="s">
        <v>212</v>
      </c>
      <c r="K56" s="212">
        <v>-1102015</v>
      </c>
      <c r="L56" s="212" t="s">
        <v>213</v>
      </c>
      <c r="M56" s="212" t="s">
        <v>211</v>
      </c>
      <c r="N56" s="212">
        <v>-1102015</v>
      </c>
      <c r="O56" s="212">
        <v>-1102015</v>
      </c>
    </row>
    <row r="57" spans="1:15" x14ac:dyDescent="0.25">
      <c r="A57" s="212" t="s">
        <v>437</v>
      </c>
      <c r="B57" s="211" t="s">
        <v>303</v>
      </c>
      <c r="C57" s="212" t="s">
        <v>447</v>
      </c>
      <c r="D57" s="211" t="s">
        <v>226</v>
      </c>
      <c r="E57" s="212" t="s">
        <v>449</v>
      </c>
      <c r="F57" s="211" t="s">
        <v>222</v>
      </c>
      <c r="G57" s="212" t="s">
        <v>450</v>
      </c>
      <c r="H57" s="211" t="s">
        <v>217</v>
      </c>
      <c r="I57" s="212" t="s">
        <v>210</v>
      </c>
      <c r="J57" s="211" t="s">
        <v>209</v>
      </c>
      <c r="K57" s="212">
        <v>-227810</v>
      </c>
      <c r="L57" s="212" t="s">
        <v>210</v>
      </c>
      <c r="M57" s="212" t="s">
        <v>208</v>
      </c>
      <c r="N57" s="212">
        <v>-227810</v>
      </c>
      <c r="O57" s="212">
        <v>-227810</v>
      </c>
    </row>
    <row r="58" spans="1:15" x14ac:dyDescent="0.25">
      <c r="A58" s="212" t="s">
        <v>437</v>
      </c>
      <c r="B58" s="211" t="s">
        <v>303</v>
      </c>
      <c r="C58" s="212" t="s">
        <v>447</v>
      </c>
      <c r="D58" s="211" t="s">
        <v>226</v>
      </c>
      <c r="E58" s="212" t="s">
        <v>449</v>
      </c>
      <c r="F58" s="211" t="s">
        <v>222</v>
      </c>
      <c r="G58" s="212" t="s">
        <v>450</v>
      </c>
      <c r="H58" s="211" t="s">
        <v>217</v>
      </c>
      <c r="I58" s="212" t="s">
        <v>207</v>
      </c>
      <c r="J58" s="211" t="s">
        <v>206</v>
      </c>
      <c r="K58" s="212">
        <v>-3800</v>
      </c>
      <c r="L58" s="212" t="s">
        <v>207</v>
      </c>
      <c r="M58" s="212" t="s">
        <v>205</v>
      </c>
      <c r="N58" s="212">
        <v>-3800</v>
      </c>
      <c r="O58" s="212">
        <v>-3800</v>
      </c>
    </row>
    <row r="59" spans="1:15" x14ac:dyDescent="0.25">
      <c r="A59" s="212" t="s">
        <v>437</v>
      </c>
      <c r="B59" s="211" t="s">
        <v>303</v>
      </c>
      <c r="C59" s="212" t="s">
        <v>447</v>
      </c>
      <c r="D59" s="211" t="s">
        <v>226</v>
      </c>
      <c r="E59" s="212" t="s">
        <v>449</v>
      </c>
      <c r="F59" s="211" t="s">
        <v>222</v>
      </c>
      <c r="G59" s="212" t="s">
        <v>450</v>
      </c>
      <c r="H59" s="211" t="s">
        <v>217</v>
      </c>
      <c r="I59" s="212" t="s">
        <v>204</v>
      </c>
      <c r="J59" s="211" t="s">
        <v>203</v>
      </c>
      <c r="K59" s="212">
        <v>-59463</v>
      </c>
      <c r="L59" s="212" t="s">
        <v>204</v>
      </c>
      <c r="M59" s="212" t="s">
        <v>202</v>
      </c>
      <c r="N59" s="212">
        <v>-59463</v>
      </c>
      <c r="O59" s="212">
        <v>-59463</v>
      </c>
    </row>
    <row r="60" spans="1:15" x14ac:dyDescent="0.25">
      <c r="A60" s="212" t="s">
        <v>437</v>
      </c>
      <c r="B60" s="211" t="s">
        <v>303</v>
      </c>
      <c r="C60" s="212" t="s">
        <v>447</v>
      </c>
      <c r="D60" s="211" t="s">
        <v>226</v>
      </c>
      <c r="E60" s="212" t="s">
        <v>449</v>
      </c>
      <c r="F60" s="211" t="s">
        <v>222</v>
      </c>
      <c r="G60" s="212" t="s">
        <v>450</v>
      </c>
      <c r="H60" s="211" t="s">
        <v>217</v>
      </c>
      <c r="I60" s="212" t="s">
        <v>201</v>
      </c>
      <c r="J60" s="211" t="s">
        <v>200</v>
      </c>
      <c r="K60" s="212">
        <v>-6776</v>
      </c>
      <c r="L60" s="212" t="s">
        <v>201</v>
      </c>
      <c r="M60" s="212" t="s">
        <v>199</v>
      </c>
      <c r="N60" s="212">
        <v>-6776</v>
      </c>
      <c r="O60" s="212">
        <v>-6776</v>
      </c>
    </row>
    <row r="61" spans="1:15" x14ac:dyDescent="0.25">
      <c r="A61" s="212" t="s">
        <v>437</v>
      </c>
      <c r="B61" s="211" t="s">
        <v>303</v>
      </c>
      <c r="C61" s="212" t="s">
        <v>447</v>
      </c>
      <c r="D61" s="211" t="s">
        <v>226</v>
      </c>
      <c r="E61" s="212" t="s">
        <v>449</v>
      </c>
      <c r="F61" s="211" t="s">
        <v>222</v>
      </c>
      <c r="G61" s="212" t="s">
        <v>198</v>
      </c>
      <c r="H61" s="211" t="s">
        <v>197</v>
      </c>
      <c r="I61" s="212" t="s">
        <v>198</v>
      </c>
      <c r="J61" s="211" t="s">
        <v>197</v>
      </c>
      <c r="K61" s="212">
        <v>2349000</v>
      </c>
      <c r="L61" s="212" t="s">
        <v>198</v>
      </c>
      <c r="M61" s="212" t="s">
        <v>196</v>
      </c>
      <c r="N61" s="212">
        <v>2349000</v>
      </c>
      <c r="O61" s="212">
        <v>2349000</v>
      </c>
    </row>
    <row r="62" spans="1:15" x14ac:dyDescent="0.25">
      <c r="A62" s="212" t="s">
        <v>437</v>
      </c>
      <c r="B62" s="211" t="s">
        <v>303</v>
      </c>
      <c r="C62" s="212" t="s">
        <v>447</v>
      </c>
      <c r="D62" s="211" t="s">
        <v>226</v>
      </c>
      <c r="E62" s="212" t="s">
        <v>449</v>
      </c>
      <c r="F62" s="211" t="s">
        <v>222</v>
      </c>
      <c r="G62" s="212" t="s">
        <v>448</v>
      </c>
      <c r="H62" s="211" t="s">
        <v>195</v>
      </c>
      <c r="I62" s="212" t="s">
        <v>194</v>
      </c>
      <c r="J62" s="211" t="s">
        <v>193</v>
      </c>
      <c r="K62" s="212">
        <v>-3664000</v>
      </c>
      <c r="L62" s="212" t="s">
        <v>194</v>
      </c>
      <c r="M62" s="212" t="s">
        <v>192</v>
      </c>
      <c r="N62" s="212">
        <v>-3664000</v>
      </c>
      <c r="O62" s="212">
        <v>-3664000</v>
      </c>
    </row>
    <row r="63" spans="1:15" x14ac:dyDescent="0.25">
      <c r="A63" s="212" t="s">
        <v>437</v>
      </c>
      <c r="B63" s="211" t="s">
        <v>303</v>
      </c>
      <c r="C63" s="212" t="s">
        <v>447</v>
      </c>
      <c r="D63" s="211" t="s">
        <v>226</v>
      </c>
      <c r="E63" s="212" t="s">
        <v>446</v>
      </c>
      <c r="F63" s="211" t="s">
        <v>191</v>
      </c>
      <c r="G63" s="212" t="s">
        <v>190</v>
      </c>
      <c r="H63" s="211" t="s">
        <v>189</v>
      </c>
      <c r="I63" s="212" t="s">
        <v>190</v>
      </c>
      <c r="J63" s="211" t="s">
        <v>189</v>
      </c>
      <c r="K63" s="212">
        <v>314000</v>
      </c>
      <c r="L63" s="212" t="s">
        <v>190</v>
      </c>
      <c r="M63" s="212" t="s">
        <v>188</v>
      </c>
      <c r="N63" s="212">
        <v>314000</v>
      </c>
      <c r="O63" s="212">
        <v>314000</v>
      </c>
    </row>
    <row r="64" spans="1:15" x14ac:dyDescent="0.25">
      <c r="A64" s="212" t="s">
        <v>437</v>
      </c>
      <c r="B64" s="211" t="s">
        <v>303</v>
      </c>
      <c r="C64" s="212" t="s">
        <v>441</v>
      </c>
      <c r="D64" s="211" t="s">
        <v>187</v>
      </c>
      <c r="E64" s="212" t="s">
        <v>445</v>
      </c>
      <c r="F64" s="211" t="s">
        <v>186</v>
      </c>
      <c r="G64" s="212" t="s">
        <v>185</v>
      </c>
      <c r="H64" s="211" t="s">
        <v>184</v>
      </c>
      <c r="I64" s="212" t="s">
        <v>185</v>
      </c>
      <c r="J64" s="211" t="s">
        <v>184</v>
      </c>
      <c r="K64" s="212">
        <v>3105611</v>
      </c>
      <c r="L64" s="212" t="s">
        <v>185</v>
      </c>
      <c r="M64" s="212" t="s">
        <v>183</v>
      </c>
      <c r="N64" s="212">
        <v>3105611</v>
      </c>
      <c r="O64" s="212">
        <v>3105611</v>
      </c>
    </row>
    <row r="65" spans="1:15" x14ac:dyDescent="0.25">
      <c r="A65" s="212" t="s">
        <v>437</v>
      </c>
      <c r="B65" s="211" t="s">
        <v>303</v>
      </c>
      <c r="C65" s="212" t="s">
        <v>441</v>
      </c>
      <c r="D65" s="211" t="s">
        <v>187</v>
      </c>
      <c r="E65" s="212" t="s">
        <v>444</v>
      </c>
      <c r="F65" s="211" t="s">
        <v>182</v>
      </c>
      <c r="G65" s="212" t="s">
        <v>181</v>
      </c>
      <c r="H65" s="211" t="s">
        <v>180</v>
      </c>
      <c r="I65" s="212" t="s">
        <v>181</v>
      </c>
      <c r="J65" s="211" t="s">
        <v>180</v>
      </c>
      <c r="K65" s="212">
        <v>374906</v>
      </c>
      <c r="L65" s="212" t="s">
        <v>181</v>
      </c>
      <c r="M65" s="212" t="s">
        <v>162</v>
      </c>
      <c r="N65" s="212">
        <v>374906</v>
      </c>
      <c r="O65" s="212">
        <v>374906</v>
      </c>
    </row>
    <row r="66" spans="1:15" x14ac:dyDescent="0.25">
      <c r="A66" s="212" t="s">
        <v>437</v>
      </c>
      <c r="B66" s="211" t="s">
        <v>303</v>
      </c>
      <c r="C66" s="212" t="s">
        <v>441</v>
      </c>
      <c r="D66" s="211" t="s">
        <v>187</v>
      </c>
      <c r="E66" s="212" t="s">
        <v>443</v>
      </c>
      <c r="F66" s="211" t="s">
        <v>179</v>
      </c>
      <c r="G66" s="212" t="s">
        <v>178</v>
      </c>
      <c r="H66" s="211" t="s">
        <v>177</v>
      </c>
      <c r="I66" s="212" t="s">
        <v>178</v>
      </c>
      <c r="J66" s="211" t="s">
        <v>177</v>
      </c>
      <c r="K66" s="212">
        <v>-177280</v>
      </c>
      <c r="L66" s="212" t="s">
        <v>178</v>
      </c>
      <c r="M66" s="212" t="s">
        <v>156</v>
      </c>
      <c r="N66" s="212">
        <v>-177280</v>
      </c>
      <c r="O66" s="212">
        <v>-177280</v>
      </c>
    </row>
    <row r="67" spans="1:15" x14ac:dyDescent="0.25">
      <c r="A67" s="212" t="s">
        <v>437</v>
      </c>
      <c r="B67" s="211" t="s">
        <v>303</v>
      </c>
      <c r="C67" s="212" t="s">
        <v>441</v>
      </c>
      <c r="D67" s="211" t="s">
        <v>187</v>
      </c>
      <c r="E67" s="212" t="s">
        <v>442</v>
      </c>
      <c r="F67" s="211" t="s">
        <v>176</v>
      </c>
      <c r="G67" s="212" t="s">
        <v>175</v>
      </c>
      <c r="H67" s="211" t="s">
        <v>174</v>
      </c>
      <c r="I67" s="212" t="s">
        <v>175</v>
      </c>
      <c r="J67" s="211" t="s">
        <v>174</v>
      </c>
      <c r="K67" s="212">
        <v>241125</v>
      </c>
      <c r="L67" s="212" t="s">
        <v>175</v>
      </c>
      <c r="M67" s="212" t="s">
        <v>159</v>
      </c>
      <c r="N67" s="212">
        <v>241125</v>
      </c>
      <c r="O67" s="212">
        <v>241125</v>
      </c>
    </row>
    <row r="68" spans="1:15" x14ac:dyDescent="0.25">
      <c r="A68" s="212" t="s">
        <v>437</v>
      </c>
      <c r="B68" s="211" t="s">
        <v>303</v>
      </c>
      <c r="C68" s="212" t="s">
        <v>441</v>
      </c>
      <c r="D68" s="211" t="s">
        <v>187</v>
      </c>
      <c r="E68" s="212" t="s">
        <v>440</v>
      </c>
      <c r="F68" s="211" t="s">
        <v>173</v>
      </c>
      <c r="G68" s="212" t="s">
        <v>172</v>
      </c>
      <c r="H68" s="211" t="s">
        <v>171</v>
      </c>
      <c r="I68" s="212" t="s">
        <v>172</v>
      </c>
      <c r="J68" s="211" t="s">
        <v>171</v>
      </c>
      <c r="K68" s="212">
        <v>3711223</v>
      </c>
      <c r="L68" s="212" t="s">
        <v>172</v>
      </c>
      <c r="M68" s="212" t="s">
        <v>170</v>
      </c>
      <c r="N68" s="212">
        <v>3711223</v>
      </c>
      <c r="O68" s="212">
        <v>3711223</v>
      </c>
    </row>
    <row r="69" spans="1:15" x14ac:dyDescent="0.25">
      <c r="A69" s="212" t="s">
        <v>437</v>
      </c>
      <c r="B69" s="211" t="s">
        <v>303</v>
      </c>
      <c r="C69" s="212" t="s">
        <v>439</v>
      </c>
      <c r="D69" s="211" t="s">
        <v>169</v>
      </c>
      <c r="E69" s="212" t="s">
        <v>438</v>
      </c>
      <c r="F69" s="211" t="s">
        <v>168</v>
      </c>
      <c r="G69" s="212" t="s">
        <v>167</v>
      </c>
      <c r="H69" s="211" t="s">
        <v>166</v>
      </c>
      <c r="I69" s="212" t="s">
        <v>167</v>
      </c>
      <c r="J69" s="211" t="s">
        <v>166</v>
      </c>
      <c r="K69" s="212">
        <v>320314</v>
      </c>
      <c r="L69" s="212" t="s">
        <v>167</v>
      </c>
      <c r="M69" s="212" t="s">
        <v>165</v>
      </c>
      <c r="N69" s="212">
        <v>320314</v>
      </c>
      <c r="O69" s="212">
        <v>320314</v>
      </c>
    </row>
    <row r="70" spans="1:15" x14ac:dyDescent="0.25">
      <c r="A70" s="212" t="s">
        <v>437</v>
      </c>
      <c r="B70" s="211" t="s">
        <v>303</v>
      </c>
      <c r="C70" s="212" t="s">
        <v>439</v>
      </c>
      <c r="D70" s="211" t="s">
        <v>169</v>
      </c>
      <c r="E70" s="212" t="s">
        <v>438</v>
      </c>
      <c r="F70" s="211" t="s">
        <v>168</v>
      </c>
      <c r="G70" s="212" t="s">
        <v>164</v>
      </c>
      <c r="H70" s="211" t="s">
        <v>163</v>
      </c>
      <c r="I70" s="212" t="s">
        <v>164</v>
      </c>
      <c r="J70" s="211" t="s">
        <v>163</v>
      </c>
      <c r="K70" s="212">
        <v>38454</v>
      </c>
      <c r="L70" s="212" t="s">
        <v>164</v>
      </c>
      <c r="M70" s="212" t="s">
        <v>162</v>
      </c>
      <c r="N70" s="212">
        <v>38454</v>
      </c>
      <c r="O70" s="212">
        <v>38454</v>
      </c>
    </row>
    <row r="71" spans="1:15" x14ac:dyDescent="0.25">
      <c r="A71" s="212" t="s">
        <v>437</v>
      </c>
      <c r="B71" s="211" t="s">
        <v>303</v>
      </c>
      <c r="C71" s="212" t="s">
        <v>439</v>
      </c>
      <c r="D71" s="211" t="s">
        <v>169</v>
      </c>
      <c r="E71" s="212" t="s">
        <v>438</v>
      </c>
      <c r="F71" s="211" t="s">
        <v>168</v>
      </c>
      <c r="G71" s="212" t="s">
        <v>161</v>
      </c>
      <c r="H71" s="211" t="s">
        <v>160</v>
      </c>
      <c r="I71" s="212" t="s">
        <v>161</v>
      </c>
      <c r="J71" s="211" t="s">
        <v>160</v>
      </c>
      <c r="K71" s="212">
        <v>1333307</v>
      </c>
      <c r="L71" s="212" t="s">
        <v>161</v>
      </c>
      <c r="M71" s="212" t="s">
        <v>159</v>
      </c>
      <c r="N71" s="212">
        <v>1333307</v>
      </c>
      <c r="O71" s="212">
        <v>1333307</v>
      </c>
    </row>
    <row r="72" spans="1:15" x14ac:dyDescent="0.25">
      <c r="A72" s="212" t="s">
        <v>437</v>
      </c>
      <c r="B72" s="211" t="s">
        <v>303</v>
      </c>
      <c r="C72" s="212" t="s">
        <v>439</v>
      </c>
      <c r="D72" s="211" t="s">
        <v>169</v>
      </c>
      <c r="E72" s="212" t="s">
        <v>438</v>
      </c>
      <c r="F72" s="211" t="s">
        <v>168</v>
      </c>
      <c r="G72" s="212" t="s">
        <v>158</v>
      </c>
      <c r="H72" s="211" t="s">
        <v>157</v>
      </c>
      <c r="I72" s="212" t="s">
        <v>158</v>
      </c>
      <c r="J72" s="211" t="s">
        <v>157</v>
      </c>
      <c r="K72" s="212">
        <v>320314</v>
      </c>
      <c r="L72" s="212" t="s">
        <v>158</v>
      </c>
      <c r="M72" s="212" t="s">
        <v>156</v>
      </c>
      <c r="N72" s="212">
        <v>320314</v>
      </c>
      <c r="O72" s="212">
        <v>320314</v>
      </c>
    </row>
    <row r="73" spans="1:15" x14ac:dyDescent="0.25">
      <c r="A73" s="212" t="s">
        <v>437</v>
      </c>
      <c r="B73" s="211" t="s">
        <v>303</v>
      </c>
      <c r="C73" s="212" t="s">
        <v>436</v>
      </c>
      <c r="D73" s="211" t="s">
        <v>155</v>
      </c>
      <c r="E73" s="212" t="s">
        <v>435</v>
      </c>
      <c r="F73" s="211" t="s">
        <v>154</v>
      </c>
      <c r="G73" s="212" t="s">
        <v>153</v>
      </c>
      <c r="H73" s="211" t="s">
        <v>152</v>
      </c>
      <c r="I73" s="212" t="s">
        <v>153</v>
      </c>
      <c r="J73" s="211" t="s">
        <v>152</v>
      </c>
      <c r="K73" s="212">
        <v>33239792</v>
      </c>
      <c r="L73" s="212" t="s">
        <v>153</v>
      </c>
      <c r="M73" s="212" t="s">
        <v>151</v>
      </c>
      <c r="N73" s="212">
        <v>33239792</v>
      </c>
      <c r="O73" s="212">
        <v>33239792</v>
      </c>
    </row>
    <row r="74" spans="1:15" x14ac:dyDescent="0.25">
      <c r="A74" s="212" t="s">
        <v>429</v>
      </c>
      <c r="B74" s="211" t="s">
        <v>149</v>
      </c>
      <c r="C74" s="212" t="s">
        <v>434</v>
      </c>
      <c r="D74" s="211" t="s">
        <v>148</v>
      </c>
      <c r="E74" s="212" t="s">
        <v>433</v>
      </c>
      <c r="F74" s="211" t="s">
        <v>147</v>
      </c>
      <c r="G74" s="212" t="s">
        <v>146</v>
      </c>
      <c r="H74" s="211" t="s">
        <v>145</v>
      </c>
      <c r="I74" s="212" t="s">
        <v>146</v>
      </c>
      <c r="J74" s="211" t="s">
        <v>145</v>
      </c>
      <c r="K74" s="212">
        <v>100000000</v>
      </c>
      <c r="L74" s="212" t="s">
        <v>146</v>
      </c>
      <c r="M74" s="212" t="s">
        <v>144</v>
      </c>
      <c r="N74" s="212">
        <v>100000000</v>
      </c>
      <c r="O74" s="212">
        <v>100000000</v>
      </c>
    </row>
    <row r="75" spans="1:15" x14ac:dyDescent="0.25">
      <c r="A75" s="212" t="s">
        <v>429</v>
      </c>
      <c r="B75" s="211" t="s">
        <v>149</v>
      </c>
      <c r="C75" s="212" t="s">
        <v>434</v>
      </c>
      <c r="D75" s="211" t="s">
        <v>148</v>
      </c>
      <c r="E75" s="212" t="s">
        <v>433</v>
      </c>
      <c r="F75" s="211" t="s">
        <v>147</v>
      </c>
      <c r="G75" s="212" t="s">
        <v>143</v>
      </c>
      <c r="H75" s="211" t="s">
        <v>142</v>
      </c>
      <c r="I75" s="212" t="s">
        <v>143</v>
      </c>
      <c r="J75" s="211" t="s">
        <v>142</v>
      </c>
      <c r="K75" s="212">
        <v>-90000000</v>
      </c>
      <c r="L75" s="212" t="s">
        <v>143</v>
      </c>
      <c r="M75" s="212" t="s">
        <v>141</v>
      </c>
      <c r="N75" s="212">
        <v>-90000000</v>
      </c>
      <c r="O75" s="212">
        <v>-90000000</v>
      </c>
    </row>
    <row r="76" spans="1:15" x14ac:dyDescent="0.25">
      <c r="A76" s="212" t="s">
        <v>429</v>
      </c>
      <c r="B76" s="211" t="s">
        <v>149</v>
      </c>
      <c r="C76" s="212" t="s">
        <v>432</v>
      </c>
      <c r="D76" s="211" t="s">
        <v>140</v>
      </c>
      <c r="E76" s="212" t="s">
        <v>431</v>
      </c>
      <c r="F76" s="211" t="s">
        <v>139</v>
      </c>
      <c r="G76" s="212" t="s">
        <v>138</v>
      </c>
      <c r="H76" s="211" t="s">
        <v>137</v>
      </c>
      <c r="I76" s="212" t="s">
        <v>138</v>
      </c>
      <c r="J76" s="211" t="s">
        <v>137</v>
      </c>
      <c r="K76" s="212">
        <v>53925577.040689997</v>
      </c>
      <c r="L76" s="212" t="s">
        <v>138</v>
      </c>
      <c r="M76" s="212" t="s">
        <v>136</v>
      </c>
      <c r="N76" s="212">
        <v>53925577.040689997</v>
      </c>
      <c r="O76" s="212">
        <v>53925577.040689997</v>
      </c>
    </row>
    <row r="77" spans="1:15" x14ac:dyDescent="0.25">
      <c r="A77" s="212" t="s">
        <v>429</v>
      </c>
      <c r="B77" s="211" t="s">
        <v>149</v>
      </c>
      <c r="C77" s="212" t="s">
        <v>428</v>
      </c>
      <c r="D77" s="211" t="s">
        <v>135</v>
      </c>
      <c r="E77" s="212" t="s">
        <v>430</v>
      </c>
      <c r="F77" s="211" t="s">
        <v>134</v>
      </c>
      <c r="G77" s="212" t="s">
        <v>133</v>
      </c>
      <c r="H77" s="211" t="s">
        <v>132</v>
      </c>
      <c r="I77" s="212" t="s">
        <v>133</v>
      </c>
      <c r="J77" s="211" t="s">
        <v>132</v>
      </c>
      <c r="K77" s="212">
        <v>50583821.108965002</v>
      </c>
      <c r="L77" s="212" t="s">
        <v>133</v>
      </c>
      <c r="M77" s="212" t="s">
        <v>131</v>
      </c>
      <c r="N77" s="212">
        <v>50583821.108965002</v>
      </c>
      <c r="O77" s="212">
        <v>50583821.108965002</v>
      </c>
    </row>
    <row r="78" spans="1:15" x14ac:dyDescent="0.25">
      <c r="A78" s="212" t="s">
        <v>429</v>
      </c>
      <c r="B78" s="211" t="s">
        <v>149</v>
      </c>
      <c r="C78" s="212" t="s">
        <v>428</v>
      </c>
      <c r="D78" s="211" t="s">
        <v>135</v>
      </c>
      <c r="E78" s="212" t="s">
        <v>427</v>
      </c>
      <c r="F78" s="211" t="s">
        <v>130</v>
      </c>
      <c r="G78" s="212" t="s">
        <v>129</v>
      </c>
      <c r="H78" s="211" t="s">
        <v>128</v>
      </c>
      <c r="I78" s="212" t="s">
        <v>129</v>
      </c>
      <c r="J78" s="211" t="s">
        <v>128</v>
      </c>
      <c r="K78" s="212">
        <v>-1810622.86</v>
      </c>
      <c r="L78" s="212" t="s">
        <v>129</v>
      </c>
      <c r="M78" s="212" t="s">
        <v>127</v>
      </c>
      <c r="N78" s="212">
        <v>-1810622.86</v>
      </c>
      <c r="O78" s="212">
        <v>-1810622.86</v>
      </c>
    </row>
  </sheetData>
  <pageMargins left="0.75" right="0.75" top="1" bottom="1" header="0.5" footer="0.5"/>
  <pageSetup orientation="portrait" horizontalDpi="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zoomScale="85" zoomScaleNormal="85" workbookViewId="0">
      <selection activeCell="C15" sqref="C15"/>
    </sheetView>
  </sheetViews>
  <sheetFormatPr baseColWidth="10" defaultRowHeight="14.4" x14ac:dyDescent="0.3"/>
  <cols>
    <col min="1" max="1" width="17.6640625" style="239" bestFit="1" customWidth="1"/>
    <col min="2" max="2" width="10.21875" style="239" customWidth="1"/>
    <col min="3" max="3" width="14" style="239" bestFit="1" customWidth="1"/>
    <col min="4" max="4" width="11.5546875" style="239" bestFit="1" customWidth="1"/>
    <col min="5" max="5" width="13.44140625" style="239" bestFit="1" customWidth="1"/>
    <col min="6" max="6" width="12.88671875" style="239" bestFit="1" customWidth="1"/>
    <col min="7" max="8" width="12.109375" style="239" bestFit="1" customWidth="1"/>
    <col min="9" max="9" width="16.88671875" style="239" bestFit="1" customWidth="1"/>
    <col min="10" max="10" width="15.77734375" style="239" bestFit="1" customWidth="1"/>
    <col min="11" max="11" width="16.33203125" style="248" bestFit="1" customWidth="1"/>
    <col min="12" max="16384" width="11.5546875" style="239"/>
  </cols>
  <sheetData>
    <row r="1" spans="1:12" s="234" customFormat="1" ht="57.6" x14ac:dyDescent="0.3">
      <c r="A1" s="234" t="s">
        <v>95</v>
      </c>
      <c r="B1" s="235" t="s">
        <v>96</v>
      </c>
      <c r="C1" s="236" t="s">
        <v>97</v>
      </c>
      <c r="D1" s="236" t="s">
        <v>98</v>
      </c>
      <c r="E1" s="237" t="s">
        <v>99</v>
      </c>
      <c r="F1" s="235" t="s">
        <v>100</v>
      </c>
      <c r="G1" s="237" t="s">
        <v>101</v>
      </c>
      <c r="H1" s="235" t="s">
        <v>102</v>
      </c>
      <c r="I1" s="236" t="s">
        <v>103</v>
      </c>
      <c r="J1" s="237" t="s">
        <v>518</v>
      </c>
      <c r="K1" s="238" t="s">
        <v>519</v>
      </c>
      <c r="L1" s="237" t="s">
        <v>520</v>
      </c>
    </row>
    <row r="2" spans="1:12" x14ac:dyDescent="0.3">
      <c r="A2" s="239" t="s">
        <v>88</v>
      </c>
      <c r="B2" s="240">
        <v>38640.393518518526</v>
      </c>
      <c r="C2" s="241">
        <v>15595</v>
      </c>
      <c r="D2" s="241">
        <v>4549.8643017746917</v>
      </c>
      <c r="E2" s="242">
        <v>10223.650793650791</v>
      </c>
      <c r="F2" s="240">
        <v>93645.088989122014</v>
      </c>
      <c r="G2" s="243">
        <v>0.61065875000491754</v>
      </c>
      <c r="H2" s="244">
        <v>33.213175000098353</v>
      </c>
      <c r="I2" s="242">
        <v>398345.16076971136</v>
      </c>
      <c r="J2" s="242">
        <v>3110250.7284954926</v>
      </c>
      <c r="K2" s="245">
        <v>0.63508510000511431</v>
      </c>
      <c r="L2" s="246">
        <v>21.093192566424825</v>
      </c>
    </row>
    <row r="3" spans="1:12" x14ac:dyDescent="0.3">
      <c r="A3" s="239" t="s">
        <v>89</v>
      </c>
      <c r="B3" s="240">
        <v>47635.069444444445</v>
      </c>
      <c r="C3" s="241">
        <v>20830</v>
      </c>
      <c r="D3" s="241">
        <v>5476.9050154320994</v>
      </c>
      <c r="E3" s="242">
        <v>10223.650793650791</v>
      </c>
      <c r="F3" s="240">
        <v>125406.78162775573</v>
      </c>
      <c r="G3" s="243">
        <v>0.53597088541575255</v>
      </c>
      <c r="H3" s="244">
        <v>10.719417708315051</v>
      </c>
      <c r="I3" s="242">
        <v>183533.55782096606</v>
      </c>
      <c r="J3" s="242">
        <v>1344287.6757233634</v>
      </c>
      <c r="K3" s="245">
        <v>0.80395632812362883</v>
      </c>
      <c r="L3" s="246">
        <v>8.6179437004003727</v>
      </c>
    </row>
    <row r="4" spans="1:12" x14ac:dyDescent="0.3">
      <c r="A4" s="239" t="s">
        <v>90</v>
      </c>
      <c r="B4" s="240">
        <v>35978.703703703701</v>
      </c>
      <c r="C4" s="241">
        <v>9450</v>
      </c>
      <c r="D4" s="241">
        <v>3723.0290740740738</v>
      </c>
      <c r="E4" s="242">
        <v>13250.952380952382</v>
      </c>
      <c r="F4" s="240">
        <v>92980.000886507929</v>
      </c>
      <c r="G4" s="243">
        <v>0.54057775706888977</v>
      </c>
      <c r="H4" s="244">
        <v>10.811555141377795</v>
      </c>
      <c r="I4" s="242">
        <v>192415.13512021583</v>
      </c>
      <c r="J4" s="242">
        <v>1005258.4066298368</v>
      </c>
      <c r="K4" s="245">
        <v>0.32434665424133385</v>
      </c>
      <c r="L4" s="246">
        <v>3.5066917372515789</v>
      </c>
    </row>
    <row r="5" spans="1:12" x14ac:dyDescent="0.3">
      <c r="A5" s="239" t="s">
        <v>91</v>
      </c>
      <c r="B5" s="240">
        <v>32490.972222222223</v>
      </c>
      <c r="C5" s="241">
        <v>10620</v>
      </c>
      <c r="D5" s="241">
        <v>4034.5478333333326</v>
      </c>
      <c r="E5" s="242">
        <v>12283.968253968254</v>
      </c>
      <c r="F5" s="240">
        <v>88549.937581190461</v>
      </c>
      <c r="G5" s="243">
        <v>0.5273530691942393</v>
      </c>
      <c r="H5" s="244">
        <v>10.547061383884786</v>
      </c>
      <c r="I5" s="242">
        <v>176705.28726785077</v>
      </c>
      <c r="J5" s="242">
        <v>933941.62720798212</v>
      </c>
      <c r="K5" s="245">
        <v>0.42188245535539148</v>
      </c>
      <c r="L5" s="246">
        <v>4.4496201534173467</v>
      </c>
    </row>
    <row r="6" spans="1:12" x14ac:dyDescent="0.3">
      <c r="A6" s="239" t="s">
        <v>92</v>
      </c>
      <c r="B6" s="240">
        <v>44789.81481481481</v>
      </c>
      <c r="C6" s="241">
        <v>14000</v>
      </c>
      <c r="D6" s="241">
        <v>5695.8681273333341</v>
      </c>
      <c r="E6" s="242">
        <v>12283.968253968254</v>
      </c>
      <c r="F6" s="240">
        <v>114386.78028221345</v>
      </c>
      <c r="G6" s="243">
        <v>0.54351991100011166</v>
      </c>
      <c r="H6" s="244">
        <v>10.870398220002233</v>
      </c>
      <c r="I6" s="242">
        <v>198017.30958464861</v>
      </c>
      <c r="J6" s="242">
        <v>1243429.8527715597</v>
      </c>
      <c r="K6" s="245">
        <v>0.56526070744011614</v>
      </c>
      <c r="L6" s="246">
        <v>6.1446089879942418</v>
      </c>
    </row>
    <row r="7" spans="1:12" x14ac:dyDescent="0.3">
      <c r="A7" s="239" t="s">
        <v>93</v>
      </c>
      <c r="B7" s="240">
        <v>44606.25</v>
      </c>
      <c r="C7" s="241">
        <v>18040</v>
      </c>
      <c r="D7" s="241">
        <v>18066.399588477369</v>
      </c>
      <c r="E7" s="242">
        <v>10536.666666666666</v>
      </c>
      <c r="F7" s="240">
        <v>128029.64557201647</v>
      </c>
      <c r="G7" s="243">
        <v>0.54807869275754872</v>
      </c>
      <c r="H7" s="244">
        <v>10.961573855150974</v>
      </c>
      <c r="I7" s="242">
        <v>196211.09944225143</v>
      </c>
      <c r="J7" s="242">
        <v>1403406.4155864613</v>
      </c>
      <c r="K7" s="245">
        <v>0.43846295420603898</v>
      </c>
      <c r="L7" s="246">
        <v>4.8062440552771752</v>
      </c>
    </row>
    <row r="8" spans="1:12" x14ac:dyDescent="0.3">
      <c r="A8" s="239" t="s">
        <v>94</v>
      </c>
      <c r="B8" s="240">
        <v>44606.25</v>
      </c>
      <c r="C8" s="241">
        <v>21610</v>
      </c>
      <c r="D8" s="241">
        <v>5128.6625000000004</v>
      </c>
      <c r="E8" s="242">
        <v>10223.650793650791</v>
      </c>
      <c r="F8" s="240">
        <v>121537.15930753968</v>
      </c>
      <c r="G8" s="243">
        <v>0.52741745450739286</v>
      </c>
      <c r="H8" s="244">
        <v>10.548349090147857</v>
      </c>
      <c r="I8" s="242">
        <v>179187.55004719575</v>
      </c>
      <c r="J8" s="242">
        <v>1282016.3838008414</v>
      </c>
      <c r="K8" s="245">
        <v>0.63290094540887143</v>
      </c>
      <c r="L8" s="246">
        <v>6.6760601116573879</v>
      </c>
    </row>
    <row r="9" spans="1:12" ht="15" thickBot="1" x14ac:dyDescent="0.35">
      <c r="A9" s="301"/>
      <c r="B9" s="302" t="s">
        <v>525</v>
      </c>
      <c r="C9" s="303" t="s">
        <v>526</v>
      </c>
      <c r="D9" s="303" t="s">
        <v>527</v>
      </c>
      <c r="E9" s="304" t="s">
        <v>528</v>
      </c>
      <c r="F9" s="302" t="s">
        <v>529</v>
      </c>
      <c r="G9" s="305"/>
      <c r="H9" s="306" t="s">
        <v>530</v>
      </c>
      <c r="I9" s="303" t="s">
        <v>531</v>
      </c>
      <c r="J9" s="304" t="s">
        <v>532</v>
      </c>
      <c r="K9" s="307" t="s">
        <v>533</v>
      </c>
      <c r="L9" s="308" t="s">
        <v>534</v>
      </c>
    </row>
    <row r="10" spans="1:12" x14ac:dyDescent="0.3">
      <c r="C10" s="247"/>
      <c r="D10" s="247"/>
    </row>
    <row r="11" spans="1:12" x14ac:dyDescent="0.3">
      <c r="I11" s="249"/>
      <c r="K11" s="250"/>
    </row>
    <row r="12" spans="1:12" ht="15" thickBot="1" x14ac:dyDescent="0.35">
      <c r="D12" s="251"/>
      <c r="F12" s="252"/>
      <c r="I12" s="249"/>
      <c r="J12" s="249"/>
    </row>
    <row r="13" spans="1:12" x14ac:dyDescent="0.3">
      <c r="A13" s="253" t="s">
        <v>521</v>
      </c>
      <c r="B13" s="254">
        <v>367774</v>
      </c>
    </row>
    <row r="14" spans="1:12" x14ac:dyDescent="0.3">
      <c r="A14" s="255" t="s">
        <v>522</v>
      </c>
      <c r="B14" s="256">
        <v>156820</v>
      </c>
    </row>
    <row r="15" spans="1:12" x14ac:dyDescent="0.3">
      <c r="A15" s="255" t="s">
        <v>523</v>
      </c>
      <c r="B15" s="256">
        <v>8798176</v>
      </c>
    </row>
    <row r="16" spans="1:12" ht="15" thickBot="1" x14ac:dyDescent="0.35">
      <c r="A16" s="257" t="s">
        <v>524</v>
      </c>
      <c r="B16" s="258">
        <v>0.14768192599999999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Analisis 3 años de proyecto</vt:lpstr>
      <vt:lpstr>datos  de costos y cantidades</vt:lpstr>
      <vt:lpstr>Tabla</vt:lpstr>
      <vt:lpstr>ExportarAExcel</vt:lpstr>
      <vt:lpstr>Punto de equilibrio.</vt:lpstr>
      <vt:lpstr>ExportarAExcel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</dc:creator>
  <cp:lastModifiedBy>Edwin</cp:lastModifiedBy>
  <dcterms:created xsi:type="dcterms:W3CDTF">2022-05-04T00:35:39Z</dcterms:created>
  <dcterms:modified xsi:type="dcterms:W3CDTF">2022-06-23T16:25:16Z</dcterms:modified>
</cp:coreProperties>
</file>