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ebas\OneDrive\Documentos\Documentos Proyecto\"/>
    </mc:Choice>
  </mc:AlternateContent>
  <xr:revisionPtr revIDLastSave="0" documentId="13_ncr:1_{B2374C64-ADEC-4941-B4F7-3D4211806368}" xr6:coauthVersionLast="47" xr6:coauthVersionMax="47" xr10:uidLastSave="{00000000-0000-0000-0000-000000000000}"/>
  <bookViews>
    <workbookView xWindow="1305" yWindow="1185" windowWidth="17865" windowHeight="4350" firstSheet="6" activeTab="6" xr2:uid="{F70F7754-0631-4547-B0EF-D84E537FAD51}"/>
  </bookViews>
  <sheets>
    <sheet name="Presentacion Dashboard" sheetId="11" r:id="rId1"/>
    <sheet name="Hoja3" sheetId="14" r:id="rId2"/>
    <sheet name="Dinamicas 2" sheetId="12" r:id="rId3"/>
    <sheet name="Hoja4" sheetId="15" state="hidden" r:id="rId4"/>
    <sheet name="Dinamicas" sheetId="7" r:id="rId5"/>
    <sheet name="Fuente dinamicas" sheetId="3" r:id="rId6"/>
    <sheet name="Fuente total" sheetId="4" r:id="rId7"/>
  </sheets>
  <definedNames>
    <definedName name="_xlnm._FilterDatabase" localSheetId="5" hidden="1">'Fuente dinamicas'!$A$1:$I$257</definedName>
    <definedName name="SegmentaciónDeDatos_Indicador">#N/A</definedName>
    <definedName name="SegmentaciónDeDatos_Indicador1">#N/A</definedName>
    <definedName name="SegmentaciónDeDatos_Indicador3">#N/A</definedName>
    <definedName name="SegmentaciónDeDatos_Indicador4">#N/A</definedName>
    <definedName name="SegmentaciónDeDatos_Site">#N/A</definedName>
    <definedName name="SegmentaciónDeDatos_Tipo">#N/A</definedName>
    <definedName name="SegmentaciónDeDatos_Tipo1">#N/A</definedName>
    <definedName name="SegmentaciónDeDatos_Tipo2">#N/A</definedName>
    <definedName name="SegmentaciónDeDatos_Tipo3">#N/A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  <x14:slicerCache r:id="rId20"/>
        <x14:slicerCache r:id="rId2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82" i="4" l="1"/>
  <c r="X83" i="4"/>
  <c r="W83" i="4"/>
  <c r="W82" i="4"/>
  <c r="V83" i="4"/>
  <c r="V82" i="4"/>
  <c r="U83" i="4"/>
  <c r="U82" i="4"/>
  <c r="V143" i="4"/>
  <c r="V144" i="4"/>
  <c r="V145" i="4"/>
  <c r="V142" i="4"/>
  <c r="W142" i="4" s="1"/>
  <c r="X142" i="4" s="1"/>
  <c r="U143" i="4"/>
  <c r="U144" i="4"/>
  <c r="W144" i="4" s="1"/>
  <c r="X144" i="4" s="1"/>
  <c r="U145" i="4"/>
  <c r="U142" i="4"/>
  <c r="W143" i="4"/>
  <c r="X143" i="4" s="1"/>
  <c r="W145" i="4"/>
  <c r="X145" i="4" s="1"/>
  <c r="X120" i="4"/>
  <c r="X121" i="4"/>
  <c r="X122" i="4"/>
  <c r="X119" i="4"/>
  <c r="W120" i="4"/>
  <c r="W121" i="4"/>
  <c r="W122" i="4"/>
  <c r="W119" i="4"/>
  <c r="V120" i="4"/>
  <c r="V121" i="4"/>
  <c r="V122" i="4"/>
  <c r="V119" i="4"/>
  <c r="U120" i="4"/>
  <c r="U121" i="4"/>
  <c r="U122" i="4"/>
  <c r="U119" i="4"/>
  <c r="D2" i="3"/>
  <c r="X70" i="4" l="1"/>
  <c r="W59" i="4"/>
  <c r="W61" i="4"/>
  <c r="W62" i="4"/>
  <c r="W63" i="4"/>
  <c r="W65" i="4"/>
  <c r="W66" i="4"/>
  <c r="X75" i="4" l="1"/>
  <c r="X71" i="4"/>
  <c r="X72" i="4"/>
  <c r="X73" i="4"/>
  <c r="X74" i="4"/>
  <c r="Y77" i="4"/>
  <c r="Y76" i="4"/>
  <c r="Y71" i="4"/>
  <c r="Y73" i="4"/>
  <c r="Y74" i="4"/>
  <c r="Y75" i="4"/>
  <c r="Y72" i="4"/>
  <c r="Y70" i="4"/>
  <c r="AA13" i="7"/>
  <c r="W13" i="7"/>
  <c r="X13" i="7"/>
  <c r="R13" i="7"/>
  <c r="S13" i="7"/>
  <c r="O13" i="7"/>
  <c r="AE15" i="7"/>
  <c r="AG15" i="7"/>
  <c r="Y13" i="7"/>
  <c r="Z13" i="7"/>
  <c r="P13" i="7"/>
  <c r="Q13" i="7"/>
  <c r="AI15" i="7"/>
  <c r="AH15" i="7"/>
  <c r="AF15" i="7"/>
  <c r="U20" i="3"/>
  <c r="T20" i="3"/>
  <c r="Y20" i="3"/>
  <c r="X20" i="3"/>
  <c r="J13" i="7"/>
  <c r="I13" i="7"/>
  <c r="H13" i="7"/>
  <c r="P20" i="3"/>
  <c r="G13" i="7"/>
  <c r="F13" i="7"/>
  <c r="Q20" i="3"/>
  <c r="X78" i="4" l="1"/>
  <c r="H6" i="11"/>
  <c r="I6" i="11"/>
  <c r="J6" i="11"/>
  <c r="K6" i="11"/>
  <c r="I8" i="11"/>
  <c r="C36" i="11"/>
  <c r="D36" i="11"/>
  <c r="E36" i="11"/>
  <c r="F36" i="11"/>
  <c r="I34" i="11"/>
  <c r="D122" i="3"/>
  <c r="D114" i="3"/>
  <c r="M11" i="4"/>
  <c r="E106" i="3" s="1"/>
  <c r="N11" i="4"/>
  <c r="F106" i="3" s="1"/>
  <c r="O11" i="4"/>
  <c r="G106" i="3" s="1"/>
  <c r="M12" i="4"/>
  <c r="E107" i="3" s="1"/>
  <c r="N12" i="4"/>
  <c r="F107" i="3" s="1"/>
  <c r="O12" i="4"/>
  <c r="G107" i="3" s="1"/>
  <c r="M13" i="4"/>
  <c r="E108" i="3" s="1"/>
  <c r="N13" i="4"/>
  <c r="F108" i="3" s="1"/>
  <c r="O13" i="4"/>
  <c r="G108" i="3" s="1"/>
  <c r="M14" i="4"/>
  <c r="E109" i="3" s="1"/>
  <c r="N14" i="4"/>
  <c r="F109" i="3" s="1"/>
  <c r="O14" i="4"/>
  <c r="G109" i="3" s="1"/>
  <c r="M15" i="4"/>
  <c r="E110" i="3" s="1"/>
  <c r="N15" i="4"/>
  <c r="F110" i="3" s="1"/>
  <c r="O15" i="4"/>
  <c r="G110" i="3" s="1"/>
  <c r="M16" i="4"/>
  <c r="E111" i="3" s="1"/>
  <c r="N16" i="4"/>
  <c r="F111" i="3" s="1"/>
  <c r="O16" i="4"/>
  <c r="G111" i="3" s="1"/>
  <c r="M17" i="4"/>
  <c r="E112" i="3" s="1"/>
  <c r="N17" i="4"/>
  <c r="F112" i="3" s="1"/>
  <c r="O17" i="4"/>
  <c r="G112" i="3" s="1"/>
  <c r="M18" i="4"/>
  <c r="E113" i="3" s="1"/>
  <c r="N18" i="4"/>
  <c r="F113" i="3" s="1"/>
  <c r="O18" i="4"/>
  <c r="G113" i="3" s="1"/>
  <c r="L12" i="4"/>
  <c r="D107" i="3" s="1"/>
  <c r="L13" i="4"/>
  <c r="D108" i="3" s="1"/>
  <c r="L14" i="4"/>
  <c r="D109" i="3" s="1"/>
  <c r="L15" i="4"/>
  <c r="D110" i="3" s="1"/>
  <c r="L16" i="4"/>
  <c r="D111" i="3" s="1"/>
  <c r="L17" i="4"/>
  <c r="D112" i="3" s="1"/>
  <c r="L18" i="4"/>
  <c r="D113" i="3" s="1"/>
  <c r="L11" i="4"/>
  <c r="D106" i="3" s="1"/>
  <c r="E20" i="3"/>
  <c r="G2" i="3"/>
  <c r="D9" i="3"/>
  <c r="E8" i="3"/>
  <c r="F8" i="3"/>
  <c r="G8" i="3"/>
  <c r="D8" i="3"/>
  <c r="E7" i="3"/>
  <c r="F7" i="3"/>
  <c r="G7" i="3"/>
  <c r="D7" i="3"/>
  <c r="E6" i="3"/>
  <c r="F6" i="3"/>
  <c r="G6" i="3"/>
  <c r="D6" i="3"/>
  <c r="E4" i="3"/>
  <c r="F4" i="3"/>
  <c r="G4" i="3"/>
  <c r="D4" i="3"/>
  <c r="E3" i="3"/>
  <c r="F3" i="3"/>
  <c r="G3" i="3"/>
  <c r="D3" i="3"/>
  <c r="E2" i="3"/>
  <c r="F2" i="3"/>
  <c r="D18" i="3"/>
  <c r="K112" i="3" l="1"/>
  <c r="J112" i="3" s="1"/>
  <c r="K110" i="3"/>
  <c r="J110" i="3" s="1"/>
  <c r="K108" i="3"/>
  <c r="J108" i="3" s="1"/>
  <c r="K106" i="3"/>
  <c r="J106" i="3" s="1"/>
  <c r="K113" i="3"/>
  <c r="J113" i="3" s="1"/>
  <c r="K111" i="3"/>
  <c r="J111" i="3" s="1"/>
  <c r="K109" i="3"/>
  <c r="J109" i="3" s="1"/>
  <c r="K107" i="3"/>
  <c r="J107" i="3" s="1"/>
  <c r="J66" i="3"/>
  <c r="J67" i="3"/>
  <c r="J68" i="3"/>
  <c r="J69" i="3"/>
  <c r="J70" i="3"/>
  <c r="J72" i="3"/>
  <c r="K154" i="3"/>
  <c r="J154" i="3" s="1"/>
  <c r="K155" i="3"/>
  <c r="J155" i="3" s="1"/>
  <c r="K156" i="3"/>
  <c r="J156" i="3" s="1"/>
  <c r="K157" i="3"/>
  <c r="J157" i="3" s="1"/>
  <c r="K158" i="3"/>
  <c r="J158" i="3" s="1"/>
  <c r="K159" i="3"/>
  <c r="J159" i="3" s="1"/>
  <c r="K160" i="3"/>
  <c r="J160" i="3" s="1"/>
  <c r="K161" i="3"/>
  <c r="J161" i="3" s="1"/>
  <c r="K186" i="3"/>
  <c r="K187" i="3"/>
  <c r="K188" i="3"/>
  <c r="K189" i="3"/>
  <c r="K190" i="3"/>
  <c r="K191" i="3"/>
  <c r="K192" i="3"/>
  <c r="K193" i="3"/>
  <c r="I21" i="11" l="1"/>
  <c r="K21" i="11"/>
  <c r="I37" i="11"/>
  <c r="K37" i="11"/>
  <c r="K31" i="11"/>
  <c r="I31" i="11"/>
  <c r="D19" i="3" l="1"/>
  <c r="E19" i="3"/>
  <c r="F19" i="3"/>
  <c r="G19" i="3"/>
  <c r="D20" i="3"/>
  <c r="F20" i="3"/>
  <c r="G20" i="3"/>
  <c r="D21" i="3"/>
  <c r="E21" i="3"/>
  <c r="F21" i="3"/>
  <c r="G21" i="3"/>
  <c r="D22" i="3"/>
  <c r="E22" i="3"/>
  <c r="F22" i="3"/>
  <c r="G22" i="3"/>
  <c r="D23" i="3"/>
  <c r="E23" i="3"/>
  <c r="F23" i="3"/>
  <c r="G23" i="3"/>
  <c r="D24" i="3"/>
  <c r="E24" i="3"/>
  <c r="F24" i="3"/>
  <c r="G24" i="3"/>
  <c r="D25" i="3"/>
  <c r="E25" i="3"/>
  <c r="F25" i="3"/>
  <c r="G25" i="3"/>
  <c r="E18" i="3"/>
  <c r="F18" i="3"/>
  <c r="G18" i="3"/>
  <c r="D5" i="3"/>
  <c r="E5" i="3"/>
  <c r="F5" i="3"/>
  <c r="G5" i="3"/>
  <c r="D42" i="3"/>
  <c r="E42" i="3"/>
  <c r="F42" i="3"/>
  <c r="G42" i="3"/>
  <c r="D43" i="3"/>
  <c r="E43" i="3"/>
  <c r="F43" i="3"/>
  <c r="G43" i="3"/>
  <c r="D44" i="3"/>
  <c r="E44" i="3"/>
  <c r="F44" i="3"/>
  <c r="G44" i="3"/>
  <c r="D45" i="3"/>
  <c r="E45" i="3"/>
  <c r="F45" i="3"/>
  <c r="G45" i="3"/>
  <c r="D46" i="3"/>
  <c r="E46" i="3"/>
  <c r="F46" i="3"/>
  <c r="G46" i="3"/>
  <c r="D48" i="3"/>
  <c r="E48" i="3"/>
  <c r="F48" i="3"/>
  <c r="G48" i="3"/>
  <c r="D50" i="3"/>
  <c r="E50" i="3"/>
  <c r="F50" i="3"/>
  <c r="G50" i="3"/>
  <c r="D51" i="3"/>
  <c r="E51" i="3"/>
  <c r="F51" i="3"/>
  <c r="G51" i="3"/>
  <c r="D52" i="3"/>
  <c r="E52" i="3"/>
  <c r="F52" i="3"/>
  <c r="G52" i="3"/>
  <c r="D53" i="3"/>
  <c r="E53" i="3"/>
  <c r="F53" i="3"/>
  <c r="G53" i="3"/>
  <c r="D54" i="3"/>
  <c r="E54" i="3"/>
  <c r="F54" i="3"/>
  <c r="G54" i="3"/>
  <c r="D56" i="3"/>
  <c r="E56" i="3"/>
  <c r="F56" i="3"/>
  <c r="G56" i="3"/>
  <c r="D74" i="3"/>
  <c r="E74" i="3"/>
  <c r="F74" i="3"/>
  <c r="G74" i="3"/>
  <c r="D75" i="3"/>
  <c r="E75" i="3"/>
  <c r="F75" i="3"/>
  <c r="G75" i="3"/>
  <c r="D76" i="3"/>
  <c r="E76" i="3"/>
  <c r="F76" i="3"/>
  <c r="G76" i="3"/>
  <c r="D77" i="3"/>
  <c r="E77" i="3"/>
  <c r="F77" i="3"/>
  <c r="G77" i="3"/>
  <c r="D78" i="3"/>
  <c r="E78" i="3"/>
  <c r="F78" i="3"/>
  <c r="G78" i="3"/>
  <c r="D80" i="3"/>
  <c r="E80" i="3"/>
  <c r="F80" i="3"/>
  <c r="G80" i="3"/>
  <c r="D82" i="3"/>
  <c r="E82" i="3"/>
  <c r="F82" i="3"/>
  <c r="G82" i="3"/>
  <c r="D83" i="3"/>
  <c r="E83" i="3"/>
  <c r="F83" i="3"/>
  <c r="G83" i="3"/>
  <c r="D84" i="3"/>
  <c r="E84" i="3"/>
  <c r="F84" i="3"/>
  <c r="G84" i="3"/>
  <c r="D85" i="3"/>
  <c r="E85" i="3"/>
  <c r="F85" i="3"/>
  <c r="G85" i="3"/>
  <c r="D86" i="3"/>
  <c r="E86" i="3"/>
  <c r="F86" i="3"/>
  <c r="G86" i="3"/>
  <c r="D88" i="3"/>
  <c r="E88" i="3"/>
  <c r="F88" i="3"/>
  <c r="G88" i="3"/>
  <c r="D90" i="3"/>
  <c r="E90" i="3"/>
  <c r="F90" i="3"/>
  <c r="G90" i="3"/>
  <c r="D91" i="3"/>
  <c r="E91" i="3"/>
  <c r="F91" i="3"/>
  <c r="G91" i="3"/>
  <c r="D92" i="3"/>
  <c r="E92" i="3"/>
  <c r="F92" i="3"/>
  <c r="G92" i="3"/>
  <c r="D93" i="3"/>
  <c r="E93" i="3"/>
  <c r="F93" i="3"/>
  <c r="G93" i="3"/>
  <c r="D94" i="3"/>
  <c r="E94" i="3"/>
  <c r="F94" i="3"/>
  <c r="G94" i="3"/>
  <c r="D96" i="3"/>
  <c r="E96" i="3"/>
  <c r="F96" i="3"/>
  <c r="G96" i="3"/>
  <c r="D98" i="3"/>
  <c r="E98" i="3"/>
  <c r="F98" i="3"/>
  <c r="G98" i="3"/>
  <c r="D99" i="3"/>
  <c r="E99" i="3"/>
  <c r="F99" i="3"/>
  <c r="G99" i="3"/>
  <c r="D100" i="3"/>
  <c r="E100" i="3"/>
  <c r="F100" i="3"/>
  <c r="G100" i="3"/>
  <c r="D101" i="3"/>
  <c r="E101" i="3"/>
  <c r="F101" i="3"/>
  <c r="G101" i="3"/>
  <c r="D102" i="3"/>
  <c r="E102" i="3"/>
  <c r="F102" i="3"/>
  <c r="G102" i="3"/>
  <c r="D104" i="3"/>
  <c r="E104" i="3"/>
  <c r="F104" i="3"/>
  <c r="G104" i="3"/>
  <c r="E114" i="3"/>
  <c r="F114" i="3"/>
  <c r="G114" i="3"/>
  <c r="D115" i="3"/>
  <c r="E115" i="3"/>
  <c r="F115" i="3"/>
  <c r="G115" i="3"/>
  <c r="D116" i="3"/>
  <c r="E116" i="3"/>
  <c r="F116" i="3"/>
  <c r="G116" i="3"/>
  <c r="D117" i="3"/>
  <c r="E117" i="3"/>
  <c r="F117" i="3"/>
  <c r="G117" i="3"/>
  <c r="D118" i="3"/>
  <c r="E118" i="3"/>
  <c r="F118" i="3"/>
  <c r="G118" i="3"/>
  <c r="D120" i="3"/>
  <c r="E120" i="3"/>
  <c r="F120" i="3"/>
  <c r="G120" i="3"/>
  <c r="E122" i="3"/>
  <c r="F122" i="3"/>
  <c r="G122" i="3"/>
  <c r="D123" i="3"/>
  <c r="E123" i="3"/>
  <c r="F123" i="3"/>
  <c r="G123" i="3"/>
  <c r="D124" i="3"/>
  <c r="E124" i="3"/>
  <c r="F124" i="3"/>
  <c r="G124" i="3"/>
  <c r="D125" i="3"/>
  <c r="E125" i="3"/>
  <c r="F125" i="3"/>
  <c r="G125" i="3"/>
  <c r="D126" i="3"/>
  <c r="E126" i="3"/>
  <c r="F126" i="3"/>
  <c r="G126" i="3"/>
  <c r="D128" i="3"/>
  <c r="E128" i="3"/>
  <c r="F128" i="3"/>
  <c r="G128" i="3"/>
  <c r="D130" i="3"/>
  <c r="E130" i="3"/>
  <c r="F130" i="3"/>
  <c r="G130" i="3"/>
  <c r="D131" i="3"/>
  <c r="E131" i="3"/>
  <c r="F131" i="3"/>
  <c r="G131" i="3"/>
  <c r="D132" i="3"/>
  <c r="E132" i="3"/>
  <c r="F132" i="3"/>
  <c r="G132" i="3"/>
  <c r="D133" i="3"/>
  <c r="E133" i="3"/>
  <c r="F133" i="3"/>
  <c r="G133" i="3"/>
  <c r="D134" i="3"/>
  <c r="E134" i="3"/>
  <c r="F134" i="3"/>
  <c r="G134" i="3"/>
  <c r="D136" i="3"/>
  <c r="E136" i="3"/>
  <c r="F136" i="3"/>
  <c r="G136" i="3"/>
  <c r="D138" i="3"/>
  <c r="E138" i="3"/>
  <c r="F138" i="3"/>
  <c r="G138" i="3"/>
  <c r="D139" i="3"/>
  <c r="E139" i="3"/>
  <c r="F139" i="3"/>
  <c r="G139" i="3"/>
  <c r="D140" i="3"/>
  <c r="E140" i="3"/>
  <c r="F140" i="3"/>
  <c r="G140" i="3"/>
  <c r="D141" i="3"/>
  <c r="E141" i="3"/>
  <c r="F141" i="3"/>
  <c r="G141" i="3"/>
  <c r="D142" i="3"/>
  <c r="E142" i="3"/>
  <c r="F142" i="3"/>
  <c r="G142" i="3"/>
  <c r="D144" i="3"/>
  <c r="E144" i="3"/>
  <c r="F144" i="3"/>
  <c r="G144" i="3"/>
  <c r="D146" i="3"/>
  <c r="E146" i="3"/>
  <c r="F146" i="3"/>
  <c r="G146" i="3"/>
  <c r="D147" i="3"/>
  <c r="E147" i="3"/>
  <c r="F147" i="3"/>
  <c r="G147" i="3"/>
  <c r="D148" i="3"/>
  <c r="E148" i="3"/>
  <c r="F148" i="3"/>
  <c r="G148" i="3"/>
  <c r="D149" i="3"/>
  <c r="E149" i="3"/>
  <c r="F149" i="3"/>
  <c r="G149" i="3"/>
  <c r="D150" i="3"/>
  <c r="E150" i="3"/>
  <c r="F150" i="3"/>
  <c r="G150" i="3"/>
  <c r="D152" i="3"/>
  <c r="E152" i="3"/>
  <c r="F152" i="3"/>
  <c r="G152" i="3"/>
  <c r="D170" i="3"/>
  <c r="E170" i="3"/>
  <c r="F170" i="3"/>
  <c r="G170" i="3"/>
  <c r="D171" i="3"/>
  <c r="E171" i="3"/>
  <c r="F171" i="3"/>
  <c r="G171" i="3"/>
  <c r="D172" i="3"/>
  <c r="E172" i="3"/>
  <c r="F172" i="3"/>
  <c r="G172" i="3"/>
  <c r="D173" i="3"/>
  <c r="E173" i="3"/>
  <c r="F173" i="3"/>
  <c r="G173" i="3"/>
  <c r="D174" i="3"/>
  <c r="E174" i="3"/>
  <c r="F174" i="3"/>
  <c r="G174" i="3"/>
  <c r="D176" i="3"/>
  <c r="E176" i="3"/>
  <c r="F176" i="3"/>
  <c r="G176" i="3"/>
  <c r="D178" i="3"/>
  <c r="E178" i="3"/>
  <c r="T59" i="4" s="1"/>
  <c r="F178" i="3"/>
  <c r="G178" i="3"/>
  <c r="V59" i="4" s="1"/>
  <c r="D179" i="3"/>
  <c r="S60" i="4" s="1"/>
  <c r="E179" i="3"/>
  <c r="F179" i="3"/>
  <c r="U60" i="4" s="1"/>
  <c r="G179" i="3"/>
  <c r="V60" i="4" s="1"/>
  <c r="D180" i="3"/>
  <c r="S61" i="4" s="1"/>
  <c r="E180" i="3"/>
  <c r="F180" i="3"/>
  <c r="U61" i="4" s="1"/>
  <c r="G180" i="3"/>
  <c r="D181" i="3"/>
  <c r="S62" i="4" s="1"/>
  <c r="E181" i="3"/>
  <c r="F181" i="3"/>
  <c r="U62" i="4" s="1"/>
  <c r="G181" i="3"/>
  <c r="D182" i="3"/>
  <c r="E182" i="3"/>
  <c r="T63" i="4" s="1"/>
  <c r="F182" i="3"/>
  <c r="U63" i="4" s="1"/>
  <c r="G182" i="3"/>
  <c r="V63" i="4" s="1"/>
  <c r="D184" i="3"/>
  <c r="E184" i="3"/>
  <c r="T65" i="4" s="1"/>
  <c r="F184" i="3"/>
  <c r="U65" i="4" s="1"/>
  <c r="G184" i="3"/>
  <c r="V65" i="4" s="1"/>
  <c r="D186" i="3"/>
  <c r="E186" i="3"/>
  <c r="F186" i="3"/>
  <c r="G186" i="3"/>
  <c r="J186" i="3" s="1"/>
  <c r="D187" i="3"/>
  <c r="E187" i="3"/>
  <c r="F187" i="3"/>
  <c r="G187" i="3"/>
  <c r="J187" i="3" s="1"/>
  <c r="D188" i="3"/>
  <c r="E188" i="3"/>
  <c r="F188" i="3"/>
  <c r="G188" i="3"/>
  <c r="J188" i="3" s="1"/>
  <c r="D189" i="3"/>
  <c r="E189" i="3"/>
  <c r="F189" i="3"/>
  <c r="G189" i="3"/>
  <c r="J189" i="3" s="1"/>
  <c r="D190" i="3"/>
  <c r="E190" i="3"/>
  <c r="F190" i="3"/>
  <c r="G190" i="3"/>
  <c r="J190" i="3" s="1"/>
  <c r="D192" i="3"/>
  <c r="E192" i="3"/>
  <c r="F192" i="3"/>
  <c r="G192" i="3"/>
  <c r="J192" i="3" s="1"/>
  <c r="D210" i="3"/>
  <c r="E210" i="3"/>
  <c r="E250" i="3" s="1"/>
  <c r="F210" i="3"/>
  <c r="F250" i="3" s="1"/>
  <c r="G210" i="3"/>
  <c r="G250" i="3" s="1"/>
  <c r="D211" i="3"/>
  <c r="E211" i="3"/>
  <c r="E251" i="3" s="1"/>
  <c r="F211" i="3"/>
  <c r="F251" i="3" s="1"/>
  <c r="G211" i="3"/>
  <c r="D212" i="3"/>
  <c r="E212" i="3"/>
  <c r="E252" i="3" s="1"/>
  <c r="F212" i="3"/>
  <c r="F252" i="3" s="1"/>
  <c r="G212" i="3"/>
  <c r="D213" i="3"/>
  <c r="E213" i="3"/>
  <c r="E253" i="3" s="1"/>
  <c r="F213" i="3"/>
  <c r="F253" i="3" s="1"/>
  <c r="G213" i="3"/>
  <c r="D214" i="3"/>
  <c r="E214" i="3"/>
  <c r="F214" i="3"/>
  <c r="F254" i="3" s="1"/>
  <c r="G214" i="3"/>
  <c r="D216" i="3"/>
  <c r="E216" i="3"/>
  <c r="F216" i="3"/>
  <c r="G216" i="3"/>
  <c r="D218" i="3"/>
  <c r="E218" i="3"/>
  <c r="F218" i="3"/>
  <c r="G218" i="3"/>
  <c r="D219" i="3"/>
  <c r="E219" i="3"/>
  <c r="F219" i="3"/>
  <c r="G219" i="3"/>
  <c r="D220" i="3"/>
  <c r="E220" i="3"/>
  <c r="F220" i="3"/>
  <c r="G220" i="3"/>
  <c r="D221" i="3"/>
  <c r="E221" i="3"/>
  <c r="F221" i="3"/>
  <c r="G221" i="3"/>
  <c r="D222" i="3"/>
  <c r="E222" i="3"/>
  <c r="F222" i="3"/>
  <c r="G222" i="3"/>
  <c r="D224" i="3"/>
  <c r="E224" i="3"/>
  <c r="F224" i="3"/>
  <c r="G224" i="3"/>
  <c r="D226" i="3"/>
  <c r="E226" i="3"/>
  <c r="F226" i="3"/>
  <c r="G226" i="3"/>
  <c r="D227" i="3"/>
  <c r="E227" i="3"/>
  <c r="F227" i="3"/>
  <c r="G227" i="3"/>
  <c r="D228" i="3"/>
  <c r="E228" i="3"/>
  <c r="F228" i="3"/>
  <c r="G228" i="3"/>
  <c r="D229" i="3"/>
  <c r="E229" i="3"/>
  <c r="F229" i="3"/>
  <c r="G229" i="3"/>
  <c r="D230" i="3"/>
  <c r="E230" i="3"/>
  <c r="F230" i="3"/>
  <c r="G230" i="3"/>
  <c r="D232" i="3"/>
  <c r="E232" i="3"/>
  <c r="F232" i="3"/>
  <c r="G232" i="3"/>
  <c r="D251" i="3"/>
  <c r="D252" i="3"/>
  <c r="F256" i="3"/>
  <c r="E9" i="3"/>
  <c r="F9" i="3"/>
  <c r="G9" i="3"/>
  <c r="D47" i="3"/>
  <c r="E47" i="3"/>
  <c r="F47" i="3"/>
  <c r="G47" i="3"/>
  <c r="D49" i="3"/>
  <c r="E49" i="3"/>
  <c r="F49" i="3"/>
  <c r="G49" i="3"/>
  <c r="D55" i="3"/>
  <c r="E55" i="3"/>
  <c r="F55" i="3"/>
  <c r="G55" i="3"/>
  <c r="D57" i="3"/>
  <c r="E57" i="3"/>
  <c r="F57" i="3"/>
  <c r="G57" i="3"/>
  <c r="D71" i="3"/>
  <c r="E71" i="3"/>
  <c r="F71" i="3"/>
  <c r="G71" i="3"/>
  <c r="D73" i="3"/>
  <c r="E73" i="3"/>
  <c r="F73" i="3"/>
  <c r="G73" i="3"/>
  <c r="D79" i="3"/>
  <c r="E79" i="3"/>
  <c r="F79" i="3"/>
  <c r="G79" i="3"/>
  <c r="D81" i="3"/>
  <c r="E81" i="3"/>
  <c r="F81" i="3"/>
  <c r="G81" i="3"/>
  <c r="F61" i="4"/>
  <c r="G41" i="3" s="1"/>
  <c r="F59" i="4"/>
  <c r="F57" i="4"/>
  <c r="F55" i="4"/>
  <c r="E60" i="4"/>
  <c r="E58" i="4"/>
  <c r="E56" i="4"/>
  <c r="E54" i="4"/>
  <c r="D61" i="4"/>
  <c r="E41" i="3" s="1"/>
  <c r="D59" i="4"/>
  <c r="D58" i="4"/>
  <c r="D56" i="4"/>
  <c r="D54" i="4"/>
  <c r="C60" i="4"/>
  <c r="C58" i="4"/>
  <c r="C56" i="4"/>
  <c r="C54" i="4"/>
  <c r="F54" i="4"/>
  <c r="D55" i="4"/>
  <c r="E55" i="4"/>
  <c r="F56" i="4"/>
  <c r="D57" i="4"/>
  <c r="E57" i="4"/>
  <c r="F58" i="4"/>
  <c r="E59" i="4"/>
  <c r="D60" i="4"/>
  <c r="F60" i="4"/>
  <c r="E61" i="4"/>
  <c r="F41" i="3" s="1"/>
  <c r="C55" i="4"/>
  <c r="C57" i="4"/>
  <c r="C59" i="4"/>
  <c r="C61" i="4"/>
  <c r="D41" i="3" s="1"/>
  <c r="E191" i="3"/>
  <c r="F191" i="3"/>
  <c r="G191" i="3"/>
  <c r="J191" i="3" s="1"/>
  <c r="E193" i="3"/>
  <c r="F193" i="3"/>
  <c r="G193" i="3"/>
  <c r="J193" i="3" s="1"/>
  <c r="D193" i="3"/>
  <c r="D191" i="3"/>
  <c r="B34" i="11"/>
  <c r="G24" i="11"/>
  <c r="G26" i="11"/>
  <c r="G14" i="11"/>
  <c r="G16" i="11"/>
  <c r="AH12" i="4"/>
  <c r="D183" i="3"/>
  <c r="E183" i="3"/>
  <c r="F183" i="3"/>
  <c r="G183" i="3"/>
  <c r="V64" i="4" s="1"/>
  <c r="D185" i="3"/>
  <c r="S66" i="4" s="1"/>
  <c r="E185" i="3"/>
  <c r="F185" i="3"/>
  <c r="G185" i="3"/>
  <c r="D175" i="3"/>
  <c r="E175" i="3"/>
  <c r="F175" i="3"/>
  <c r="G175" i="3"/>
  <c r="D177" i="3"/>
  <c r="E177" i="3"/>
  <c r="F177" i="3"/>
  <c r="G177" i="3"/>
  <c r="D231" i="3"/>
  <c r="E231" i="3"/>
  <c r="F231" i="3"/>
  <c r="G231" i="3"/>
  <c r="D233" i="3"/>
  <c r="E233" i="3"/>
  <c r="F233" i="3"/>
  <c r="G233" i="3"/>
  <c r="D223" i="3"/>
  <c r="E223" i="3"/>
  <c r="F223" i="3"/>
  <c r="G223" i="3"/>
  <c r="D225" i="3"/>
  <c r="E225" i="3"/>
  <c r="F225" i="3"/>
  <c r="G225" i="3"/>
  <c r="D87" i="3"/>
  <c r="E87" i="3"/>
  <c r="F87" i="3"/>
  <c r="G87" i="3"/>
  <c r="D89" i="3"/>
  <c r="E89" i="3"/>
  <c r="F89" i="3"/>
  <c r="G89" i="3"/>
  <c r="D95" i="3"/>
  <c r="E95" i="3"/>
  <c r="F95" i="3"/>
  <c r="G95" i="3"/>
  <c r="D97" i="3"/>
  <c r="E97" i="3"/>
  <c r="F97" i="3"/>
  <c r="G97" i="3"/>
  <c r="D103" i="3"/>
  <c r="E103" i="3"/>
  <c r="F103" i="3"/>
  <c r="G103" i="3"/>
  <c r="D105" i="3"/>
  <c r="E105" i="3"/>
  <c r="F105" i="3"/>
  <c r="G105" i="3"/>
  <c r="D119" i="3"/>
  <c r="E119" i="3"/>
  <c r="F119" i="3"/>
  <c r="G119" i="3"/>
  <c r="D121" i="3"/>
  <c r="E121" i="3"/>
  <c r="F121" i="3"/>
  <c r="G121" i="3"/>
  <c r="D127" i="3"/>
  <c r="E127" i="3"/>
  <c r="F127" i="3"/>
  <c r="G127" i="3"/>
  <c r="D129" i="3"/>
  <c r="E129" i="3"/>
  <c r="F129" i="3"/>
  <c r="G129" i="3"/>
  <c r="D135" i="3"/>
  <c r="E135" i="3"/>
  <c r="F135" i="3"/>
  <c r="G135" i="3"/>
  <c r="D137" i="3"/>
  <c r="E137" i="3"/>
  <c r="F137" i="3"/>
  <c r="G137" i="3"/>
  <c r="D143" i="3"/>
  <c r="E143" i="3"/>
  <c r="F143" i="3"/>
  <c r="G143" i="3"/>
  <c r="D145" i="3"/>
  <c r="E145" i="3"/>
  <c r="F145" i="3"/>
  <c r="G145" i="3"/>
  <c r="D151" i="3"/>
  <c r="E151" i="3"/>
  <c r="F151" i="3"/>
  <c r="G151" i="3"/>
  <c r="D153" i="3"/>
  <c r="E153" i="3"/>
  <c r="F153" i="3"/>
  <c r="G153" i="3"/>
  <c r="D215" i="3"/>
  <c r="E215" i="3"/>
  <c r="E255" i="3" s="1"/>
  <c r="F215" i="3"/>
  <c r="F255" i="3" s="1"/>
  <c r="G215" i="3"/>
  <c r="D217" i="3"/>
  <c r="E217" i="3"/>
  <c r="E257" i="3" s="1"/>
  <c r="F217" i="3"/>
  <c r="F257" i="3" s="1"/>
  <c r="G217" i="3"/>
  <c r="D255" i="3"/>
  <c r="B36" i="11"/>
  <c r="D15" i="3" l="1"/>
  <c r="D63" i="3"/>
  <c r="D31" i="3"/>
  <c r="D11" i="3"/>
  <c r="D59" i="3"/>
  <c r="D27" i="3"/>
  <c r="D35" i="3"/>
  <c r="G16" i="3"/>
  <c r="G64" i="3"/>
  <c r="G32" i="3"/>
  <c r="G40" i="3"/>
  <c r="F15" i="3"/>
  <c r="F63" i="3"/>
  <c r="F31" i="3"/>
  <c r="F13" i="3"/>
  <c r="F61" i="3"/>
  <c r="F29" i="3"/>
  <c r="F37" i="3"/>
  <c r="G12" i="3"/>
  <c r="G60" i="3"/>
  <c r="G28" i="3"/>
  <c r="G36" i="3"/>
  <c r="E11" i="3"/>
  <c r="E59" i="3"/>
  <c r="E27" i="3"/>
  <c r="E35" i="3"/>
  <c r="D10" i="3"/>
  <c r="D34" i="3"/>
  <c r="D58" i="3"/>
  <c r="D26" i="3"/>
  <c r="D14" i="3"/>
  <c r="D62" i="3"/>
  <c r="D30" i="3"/>
  <c r="D38" i="3"/>
  <c r="E10" i="3"/>
  <c r="E58" i="3"/>
  <c r="E26" i="3"/>
  <c r="E34" i="3"/>
  <c r="E14" i="3"/>
  <c r="E62" i="3"/>
  <c r="E30" i="3"/>
  <c r="E38" i="3"/>
  <c r="E17" i="3"/>
  <c r="E65" i="3"/>
  <c r="E33" i="3"/>
  <c r="F12" i="3"/>
  <c r="F60" i="3"/>
  <c r="F28" i="3"/>
  <c r="F36" i="3"/>
  <c r="F16" i="3"/>
  <c r="F64" i="3"/>
  <c r="F32" i="3"/>
  <c r="F40" i="3"/>
  <c r="G13" i="3"/>
  <c r="G61" i="3"/>
  <c r="G29" i="3"/>
  <c r="G37" i="3"/>
  <c r="G17" i="3"/>
  <c r="G65" i="3"/>
  <c r="G33" i="3"/>
  <c r="F39" i="3"/>
  <c r="D39" i="3"/>
  <c r="D17" i="3"/>
  <c r="D65" i="3"/>
  <c r="D33" i="3"/>
  <c r="D13" i="3"/>
  <c r="D61" i="3"/>
  <c r="D29" i="3"/>
  <c r="D37" i="3"/>
  <c r="F17" i="3"/>
  <c r="F65" i="3"/>
  <c r="F33" i="3"/>
  <c r="E16" i="3"/>
  <c r="E64" i="3"/>
  <c r="E32" i="3"/>
  <c r="E40" i="3"/>
  <c r="G14" i="3"/>
  <c r="G62" i="3"/>
  <c r="G30" i="3"/>
  <c r="G38" i="3"/>
  <c r="E13" i="3"/>
  <c r="E61" i="3"/>
  <c r="K61" i="3" s="1"/>
  <c r="J61" i="3" s="1"/>
  <c r="E29" i="3"/>
  <c r="E37" i="3"/>
  <c r="K37" i="3" s="1"/>
  <c r="J37" i="3" s="1"/>
  <c r="F11" i="3"/>
  <c r="F59" i="3"/>
  <c r="F27" i="3"/>
  <c r="F35" i="3"/>
  <c r="G10" i="3"/>
  <c r="G58" i="3"/>
  <c r="G26" i="3"/>
  <c r="G34" i="3"/>
  <c r="D12" i="3"/>
  <c r="D60" i="3"/>
  <c r="D28" i="3"/>
  <c r="D36" i="3"/>
  <c r="D16" i="3"/>
  <c r="D64" i="3"/>
  <c r="D32" i="3"/>
  <c r="D40" i="3"/>
  <c r="K40" i="3" s="1"/>
  <c r="J40" i="3" s="1"/>
  <c r="E12" i="3"/>
  <c r="E60" i="3"/>
  <c r="E28" i="3"/>
  <c r="E36" i="3"/>
  <c r="E15" i="3"/>
  <c r="E63" i="3"/>
  <c r="E31" i="3"/>
  <c r="F10" i="3"/>
  <c r="F34" i="3"/>
  <c r="F58" i="3"/>
  <c r="F26" i="3"/>
  <c r="F14" i="3"/>
  <c r="F62" i="3"/>
  <c r="F30" i="3"/>
  <c r="F38" i="3"/>
  <c r="G11" i="3"/>
  <c r="G59" i="3"/>
  <c r="G27" i="3"/>
  <c r="G35" i="3"/>
  <c r="G15" i="3"/>
  <c r="G63" i="3"/>
  <c r="G31" i="3"/>
  <c r="G39" i="3"/>
  <c r="E39" i="3"/>
  <c r="K18" i="3"/>
  <c r="J18" i="3" s="1"/>
  <c r="K217" i="3"/>
  <c r="J217" i="3" s="1"/>
  <c r="K215" i="3"/>
  <c r="J215" i="3" s="1"/>
  <c r="K153" i="3"/>
  <c r="J153" i="3" s="1"/>
  <c r="K151" i="3"/>
  <c r="J151" i="3" s="1"/>
  <c r="K145" i="3"/>
  <c r="J145" i="3" s="1"/>
  <c r="K143" i="3"/>
  <c r="J143" i="3" s="1"/>
  <c r="K137" i="3"/>
  <c r="J137" i="3" s="1"/>
  <c r="K135" i="3"/>
  <c r="J135" i="3" s="1"/>
  <c r="K129" i="3"/>
  <c r="J129" i="3" s="1"/>
  <c r="K127" i="3"/>
  <c r="J127" i="3" s="1"/>
  <c r="K121" i="3"/>
  <c r="J121" i="3" s="1"/>
  <c r="K119" i="3"/>
  <c r="J119" i="3" s="1"/>
  <c r="K105" i="3"/>
  <c r="J105" i="3" s="1"/>
  <c r="K103" i="3"/>
  <c r="J103" i="3" s="1"/>
  <c r="K97" i="3"/>
  <c r="J97" i="3" s="1"/>
  <c r="K95" i="3"/>
  <c r="J95" i="3" s="1"/>
  <c r="K89" i="3"/>
  <c r="J89" i="3" s="1"/>
  <c r="K87" i="3"/>
  <c r="J87" i="3" s="1"/>
  <c r="K225" i="3"/>
  <c r="J225" i="3" s="1"/>
  <c r="K223" i="3"/>
  <c r="J223" i="3" s="1"/>
  <c r="K233" i="3"/>
  <c r="J233" i="3" s="1"/>
  <c r="K231" i="3"/>
  <c r="J231" i="3" s="1"/>
  <c r="K177" i="3"/>
  <c r="J177" i="3" s="1"/>
  <c r="K175" i="3"/>
  <c r="J175" i="3" s="1"/>
  <c r="K185" i="3"/>
  <c r="J185" i="3" s="1"/>
  <c r="K183" i="3"/>
  <c r="J183" i="3" s="1"/>
  <c r="K81" i="3"/>
  <c r="J81" i="3" s="1"/>
  <c r="K79" i="3"/>
  <c r="J79" i="3" s="1"/>
  <c r="K73" i="3"/>
  <c r="J73" i="3" s="1"/>
  <c r="K71" i="3"/>
  <c r="J71" i="3" s="1"/>
  <c r="K57" i="3"/>
  <c r="J57" i="3" s="1"/>
  <c r="K55" i="3"/>
  <c r="J55" i="3" s="1"/>
  <c r="K49" i="3"/>
  <c r="J49" i="3" s="1"/>
  <c r="K47" i="3"/>
  <c r="J47" i="3" s="1"/>
  <c r="K41" i="3"/>
  <c r="J41" i="3" s="1"/>
  <c r="K9" i="3"/>
  <c r="J9" i="3" s="1"/>
  <c r="K7" i="3"/>
  <c r="J7" i="3" s="1"/>
  <c r="K232" i="3"/>
  <c r="J232" i="3" s="1"/>
  <c r="K230" i="3"/>
  <c r="J230" i="3" s="1"/>
  <c r="K229" i="3"/>
  <c r="J229" i="3" s="1"/>
  <c r="K228" i="3"/>
  <c r="J228" i="3" s="1"/>
  <c r="K227" i="3"/>
  <c r="J227" i="3" s="1"/>
  <c r="K226" i="3"/>
  <c r="J226" i="3" s="1"/>
  <c r="K224" i="3"/>
  <c r="J224" i="3" s="1"/>
  <c r="K222" i="3"/>
  <c r="J222" i="3" s="1"/>
  <c r="K221" i="3"/>
  <c r="J221" i="3" s="1"/>
  <c r="K220" i="3"/>
  <c r="J220" i="3" s="1"/>
  <c r="K219" i="3"/>
  <c r="J219" i="3" s="1"/>
  <c r="K218" i="3"/>
  <c r="J218" i="3" s="1"/>
  <c r="K216" i="3"/>
  <c r="J216" i="3" s="1"/>
  <c r="K214" i="3"/>
  <c r="J214" i="3" s="1"/>
  <c r="K213" i="3"/>
  <c r="J213" i="3" s="1"/>
  <c r="K212" i="3"/>
  <c r="J212" i="3" s="1"/>
  <c r="K211" i="3"/>
  <c r="J211" i="3" s="1"/>
  <c r="K210" i="3"/>
  <c r="J210" i="3" s="1"/>
  <c r="K184" i="3"/>
  <c r="J184" i="3" s="1"/>
  <c r="K182" i="3"/>
  <c r="J182" i="3" s="1"/>
  <c r="K181" i="3"/>
  <c r="J181" i="3" s="1"/>
  <c r="K180" i="3"/>
  <c r="J180" i="3" s="1"/>
  <c r="K179" i="3"/>
  <c r="J179" i="3" s="1"/>
  <c r="K178" i="3"/>
  <c r="J178" i="3" s="1"/>
  <c r="K176" i="3"/>
  <c r="J176" i="3" s="1"/>
  <c r="K174" i="3"/>
  <c r="J174" i="3" s="1"/>
  <c r="K173" i="3"/>
  <c r="J173" i="3" s="1"/>
  <c r="K172" i="3"/>
  <c r="J172" i="3" s="1"/>
  <c r="K171" i="3"/>
  <c r="J171" i="3" s="1"/>
  <c r="K152" i="3"/>
  <c r="J152" i="3" s="1"/>
  <c r="K150" i="3"/>
  <c r="J150" i="3" s="1"/>
  <c r="K149" i="3"/>
  <c r="J149" i="3" s="1"/>
  <c r="K148" i="3"/>
  <c r="J148" i="3" s="1"/>
  <c r="K147" i="3"/>
  <c r="J147" i="3" s="1"/>
  <c r="K146" i="3"/>
  <c r="J146" i="3" s="1"/>
  <c r="K144" i="3"/>
  <c r="J144" i="3" s="1"/>
  <c r="K142" i="3"/>
  <c r="J142" i="3" s="1"/>
  <c r="K141" i="3"/>
  <c r="J141" i="3" s="1"/>
  <c r="K140" i="3"/>
  <c r="J140" i="3" s="1"/>
  <c r="K139" i="3"/>
  <c r="J139" i="3" s="1"/>
  <c r="K138" i="3"/>
  <c r="J138" i="3" s="1"/>
  <c r="K136" i="3"/>
  <c r="J136" i="3" s="1"/>
  <c r="K134" i="3"/>
  <c r="J134" i="3" s="1"/>
  <c r="K133" i="3"/>
  <c r="J133" i="3" s="1"/>
  <c r="K132" i="3"/>
  <c r="J132" i="3" s="1"/>
  <c r="K131" i="3"/>
  <c r="J131" i="3" s="1"/>
  <c r="K130" i="3"/>
  <c r="J130" i="3" s="1"/>
  <c r="K128" i="3"/>
  <c r="J128" i="3" s="1"/>
  <c r="K126" i="3"/>
  <c r="J126" i="3" s="1"/>
  <c r="K125" i="3"/>
  <c r="J125" i="3" s="1"/>
  <c r="K124" i="3"/>
  <c r="J124" i="3" s="1"/>
  <c r="K123" i="3"/>
  <c r="J123" i="3" s="1"/>
  <c r="K122" i="3"/>
  <c r="J122" i="3" s="1"/>
  <c r="K120" i="3"/>
  <c r="J120" i="3" s="1"/>
  <c r="K118" i="3"/>
  <c r="J118" i="3" s="1"/>
  <c r="K117" i="3"/>
  <c r="J117" i="3" s="1"/>
  <c r="K116" i="3"/>
  <c r="J116" i="3" s="1"/>
  <c r="K115" i="3"/>
  <c r="J115" i="3" s="1"/>
  <c r="K114" i="3"/>
  <c r="J114" i="3" s="1"/>
  <c r="K104" i="3"/>
  <c r="J104" i="3" s="1"/>
  <c r="K102" i="3"/>
  <c r="J102" i="3" s="1"/>
  <c r="K101" i="3"/>
  <c r="J101" i="3" s="1"/>
  <c r="K100" i="3"/>
  <c r="J100" i="3" s="1"/>
  <c r="K99" i="3"/>
  <c r="J99" i="3" s="1"/>
  <c r="K98" i="3"/>
  <c r="J98" i="3" s="1"/>
  <c r="K96" i="3"/>
  <c r="J96" i="3" s="1"/>
  <c r="K94" i="3"/>
  <c r="J94" i="3" s="1"/>
  <c r="K93" i="3"/>
  <c r="J93" i="3" s="1"/>
  <c r="K92" i="3"/>
  <c r="J92" i="3" s="1"/>
  <c r="K91" i="3"/>
  <c r="J91" i="3" s="1"/>
  <c r="K90" i="3"/>
  <c r="J90" i="3" s="1"/>
  <c r="K88" i="3"/>
  <c r="J88" i="3" s="1"/>
  <c r="K86" i="3"/>
  <c r="J86" i="3" s="1"/>
  <c r="K85" i="3"/>
  <c r="J85" i="3" s="1"/>
  <c r="K84" i="3"/>
  <c r="J84" i="3" s="1"/>
  <c r="K83" i="3"/>
  <c r="J83" i="3" s="1"/>
  <c r="K82" i="3"/>
  <c r="J82" i="3" s="1"/>
  <c r="K80" i="3"/>
  <c r="J80" i="3" s="1"/>
  <c r="K78" i="3"/>
  <c r="J78" i="3" s="1"/>
  <c r="K77" i="3"/>
  <c r="J77" i="3" s="1"/>
  <c r="K76" i="3"/>
  <c r="J76" i="3" s="1"/>
  <c r="K75" i="3"/>
  <c r="J75" i="3" s="1"/>
  <c r="K56" i="3"/>
  <c r="J56" i="3" s="1"/>
  <c r="K54" i="3"/>
  <c r="J54" i="3" s="1"/>
  <c r="K53" i="3"/>
  <c r="J53" i="3" s="1"/>
  <c r="K52" i="3"/>
  <c r="J52" i="3" s="1"/>
  <c r="K51" i="3"/>
  <c r="J51" i="3" s="1"/>
  <c r="K50" i="3"/>
  <c r="J50" i="3" s="1"/>
  <c r="K48" i="3"/>
  <c r="J48" i="3" s="1"/>
  <c r="K46" i="3"/>
  <c r="J46" i="3" s="1"/>
  <c r="K45" i="3"/>
  <c r="J45" i="3" s="1"/>
  <c r="K44" i="3"/>
  <c r="J44" i="3" s="1"/>
  <c r="K43" i="3"/>
  <c r="J43" i="3" s="1"/>
  <c r="K42" i="3"/>
  <c r="J42" i="3" s="1"/>
  <c r="K38" i="3"/>
  <c r="J38" i="3" s="1"/>
  <c r="K36" i="3"/>
  <c r="J36" i="3" s="1"/>
  <c r="K34" i="3"/>
  <c r="J34" i="3" s="1"/>
  <c r="K8" i="3"/>
  <c r="J8" i="3" s="1"/>
  <c r="K6" i="3"/>
  <c r="J6" i="3" s="1"/>
  <c r="K5" i="3"/>
  <c r="J5" i="3" s="1"/>
  <c r="K4" i="3"/>
  <c r="J4" i="3" s="1"/>
  <c r="K3" i="3"/>
  <c r="J3" i="3" s="1"/>
  <c r="K2" i="3"/>
  <c r="J2" i="3" s="1"/>
  <c r="K32" i="3"/>
  <c r="J32" i="3" s="1"/>
  <c r="K30" i="3"/>
  <c r="J30" i="3" s="1"/>
  <c r="K28" i="3"/>
  <c r="J28" i="3" s="1"/>
  <c r="K25" i="3"/>
  <c r="J25" i="3" s="1"/>
  <c r="K24" i="3"/>
  <c r="J24" i="3" s="1"/>
  <c r="K23" i="3"/>
  <c r="J23" i="3" s="1"/>
  <c r="K22" i="3"/>
  <c r="J22" i="3" s="1"/>
  <c r="K21" i="3"/>
  <c r="J21" i="3" s="1"/>
  <c r="K20" i="3"/>
  <c r="J20" i="3" s="1"/>
  <c r="K19" i="3"/>
  <c r="J19" i="3" s="1"/>
  <c r="K64" i="3"/>
  <c r="J64" i="3" s="1"/>
  <c r="K62" i="3"/>
  <c r="J62" i="3" s="1"/>
  <c r="K60" i="3"/>
  <c r="J60" i="3" s="1"/>
  <c r="D257" i="3"/>
  <c r="G256" i="3"/>
  <c r="G254" i="3"/>
  <c r="G253" i="3"/>
  <c r="G252" i="3"/>
  <c r="K252" i="3" s="1"/>
  <c r="J252" i="3" s="1"/>
  <c r="G251" i="3"/>
  <c r="K251" i="3" s="1"/>
  <c r="J251" i="3" s="1"/>
  <c r="G257" i="3"/>
  <c r="G255" i="3"/>
  <c r="K255" i="3" s="1"/>
  <c r="J255" i="3" s="1"/>
  <c r="D256" i="3"/>
  <c r="D254" i="3"/>
  <c r="D253" i="3"/>
  <c r="D250" i="3"/>
  <c r="K250" i="3" s="1"/>
  <c r="J250" i="3" s="1"/>
  <c r="E254" i="3"/>
  <c r="E256" i="3"/>
  <c r="I28" i="11"/>
  <c r="I18" i="11"/>
  <c r="H16" i="11"/>
  <c r="H26" i="11"/>
  <c r="I26" i="11"/>
  <c r="J26" i="11"/>
  <c r="K26" i="11"/>
  <c r="G4" i="11"/>
  <c r="K33" i="3" l="1"/>
  <c r="J33" i="3" s="1"/>
  <c r="K29" i="3"/>
  <c r="J29" i="3" s="1"/>
  <c r="K65" i="3"/>
  <c r="J65" i="3" s="1"/>
  <c r="K26" i="3"/>
  <c r="J26" i="3" s="1"/>
  <c r="K35" i="3"/>
  <c r="J35" i="3" s="1"/>
  <c r="K59" i="3"/>
  <c r="J59" i="3" s="1"/>
  <c r="K31" i="3"/>
  <c r="J31" i="3" s="1"/>
  <c r="K27" i="3"/>
  <c r="J27" i="3" s="1"/>
  <c r="K63" i="3"/>
  <c r="J63" i="3" s="1"/>
  <c r="K39" i="3"/>
  <c r="J39" i="3" s="1"/>
  <c r="K58" i="3"/>
  <c r="J58" i="3" s="1"/>
  <c r="K253" i="3"/>
  <c r="J253" i="3" s="1"/>
  <c r="K16" i="3"/>
  <c r="J16" i="3" s="1"/>
  <c r="K17" i="3"/>
  <c r="J17" i="3" s="1"/>
  <c r="K13" i="3"/>
  <c r="J13" i="3" s="1"/>
  <c r="K11" i="3"/>
  <c r="J11" i="3" s="1"/>
  <c r="K12" i="3"/>
  <c r="J12" i="3" s="1"/>
  <c r="K14" i="3"/>
  <c r="J14" i="3" s="1"/>
  <c r="K10" i="3"/>
  <c r="J10" i="3" s="1"/>
  <c r="K15" i="3"/>
  <c r="J15" i="3" s="1"/>
  <c r="K256" i="3"/>
  <c r="J256" i="3" s="1"/>
  <c r="K254" i="3"/>
  <c r="J254" i="3" s="1"/>
  <c r="K257" i="3"/>
  <c r="J257" i="3" s="1"/>
  <c r="J16" i="11"/>
  <c r="I16" i="11"/>
  <c r="K16" i="11"/>
  <c r="G6" i="11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D11" i="4"/>
  <c r="E11" i="4"/>
  <c r="F11" i="4"/>
  <c r="C11" i="4"/>
  <c r="B33" i="4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B37" i="4"/>
  <c r="C37" i="4"/>
  <c r="D37" i="4"/>
  <c r="E37" i="4"/>
  <c r="B38" i="4"/>
  <c r="C38" i="4"/>
  <c r="D38" i="4"/>
  <c r="E38" i="4"/>
  <c r="B39" i="4"/>
  <c r="C39" i="4"/>
  <c r="D39" i="4"/>
  <c r="E39" i="4"/>
  <c r="C32" i="4"/>
  <c r="D32" i="4"/>
  <c r="E32" i="4"/>
  <c r="B32" i="4"/>
  <c r="G242" i="3" l="1"/>
  <c r="G162" i="3"/>
  <c r="G234" i="3"/>
  <c r="G194" i="3"/>
  <c r="G202" i="3" s="1"/>
  <c r="E242" i="3"/>
  <c r="E162" i="3"/>
  <c r="E194" i="3"/>
  <c r="E202" i="3" s="1"/>
  <c r="E234" i="3"/>
  <c r="F169" i="3"/>
  <c r="F249" i="3"/>
  <c r="F241" i="3"/>
  <c r="D169" i="3"/>
  <c r="D249" i="3"/>
  <c r="D241" i="3"/>
  <c r="F168" i="3"/>
  <c r="F248" i="3"/>
  <c r="F200" i="3"/>
  <c r="F208" i="3" s="1"/>
  <c r="F240" i="3"/>
  <c r="D168" i="3"/>
  <c r="D248" i="3"/>
  <c r="D200" i="3"/>
  <c r="D240" i="3"/>
  <c r="F167" i="3"/>
  <c r="F247" i="3"/>
  <c r="F239" i="3"/>
  <c r="D167" i="3"/>
  <c r="D247" i="3"/>
  <c r="D239" i="3"/>
  <c r="F166" i="3"/>
  <c r="F246" i="3"/>
  <c r="F198" i="3"/>
  <c r="F206" i="3" s="1"/>
  <c r="F238" i="3"/>
  <c r="D166" i="3"/>
  <c r="D198" i="3"/>
  <c r="D246" i="3"/>
  <c r="D238" i="3"/>
  <c r="F245" i="3"/>
  <c r="F165" i="3"/>
  <c r="F197" i="3"/>
  <c r="F205" i="3" s="1"/>
  <c r="F237" i="3"/>
  <c r="D245" i="3"/>
  <c r="D165" i="3"/>
  <c r="D197" i="3"/>
  <c r="D237" i="3"/>
  <c r="F164" i="3"/>
  <c r="F196" i="3"/>
  <c r="F204" i="3" s="1"/>
  <c r="F244" i="3"/>
  <c r="F236" i="3"/>
  <c r="D164" i="3"/>
  <c r="D196" i="3"/>
  <c r="D244" i="3"/>
  <c r="D236" i="3"/>
  <c r="F243" i="3"/>
  <c r="F163" i="3"/>
  <c r="F195" i="3"/>
  <c r="F203" i="3" s="1"/>
  <c r="F235" i="3"/>
  <c r="D243" i="3"/>
  <c r="D163" i="3"/>
  <c r="D195" i="3"/>
  <c r="D235" i="3"/>
  <c r="D162" i="3"/>
  <c r="D194" i="3"/>
  <c r="D242" i="3"/>
  <c r="D234" i="3"/>
  <c r="F162" i="3"/>
  <c r="F194" i="3"/>
  <c r="F202" i="3" s="1"/>
  <c r="F242" i="3"/>
  <c r="F234" i="3"/>
  <c r="G169" i="3"/>
  <c r="G249" i="3"/>
  <c r="G241" i="3"/>
  <c r="E169" i="3"/>
  <c r="E249" i="3"/>
  <c r="E241" i="3"/>
  <c r="G248" i="3"/>
  <c r="G168" i="3"/>
  <c r="G200" i="3"/>
  <c r="G208" i="3" s="1"/>
  <c r="G240" i="3"/>
  <c r="E248" i="3"/>
  <c r="E168" i="3"/>
  <c r="E200" i="3"/>
  <c r="E208" i="3" s="1"/>
  <c r="E240" i="3"/>
  <c r="G167" i="3"/>
  <c r="G247" i="3"/>
  <c r="G239" i="3"/>
  <c r="E167" i="3"/>
  <c r="E247" i="3"/>
  <c r="E239" i="3"/>
  <c r="G246" i="3"/>
  <c r="G166" i="3"/>
  <c r="G198" i="3"/>
  <c r="G206" i="3" s="1"/>
  <c r="G238" i="3"/>
  <c r="E246" i="3"/>
  <c r="E166" i="3"/>
  <c r="E198" i="3"/>
  <c r="E206" i="3" s="1"/>
  <c r="E238" i="3"/>
  <c r="G245" i="3"/>
  <c r="G165" i="3"/>
  <c r="G237" i="3"/>
  <c r="G197" i="3"/>
  <c r="G205" i="3" s="1"/>
  <c r="E245" i="3"/>
  <c r="E165" i="3"/>
  <c r="E197" i="3"/>
  <c r="E205" i="3" s="1"/>
  <c r="E237" i="3"/>
  <c r="G244" i="3"/>
  <c r="G164" i="3"/>
  <c r="G236" i="3"/>
  <c r="G196" i="3"/>
  <c r="G204" i="3" s="1"/>
  <c r="E244" i="3"/>
  <c r="E164" i="3"/>
  <c r="E196" i="3"/>
  <c r="E204" i="3" s="1"/>
  <c r="E236" i="3"/>
  <c r="G243" i="3"/>
  <c r="G163" i="3"/>
  <c r="G235" i="3"/>
  <c r="G195" i="3"/>
  <c r="G203" i="3" s="1"/>
  <c r="E243" i="3"/>
  <c r="E163" i="3"/>
  <c r="E195" i="3"/>
  <c r="E203" i="3" s="1"/>
  <c r="E235" i="3"/>
  <c r="D201" i="3"/>
  <c r="F199" i="3"/>
  <c r="F207" i="3" s="1"/>
  <c r="G201" i="3"/>
  <c r="E201" i="3"/>
  <c r="E209" i="3" s="1"/>
  <c r="G199" i="3"/>
  <c r="E199" i="3"/>
  <c r="E207" i="3" s="1"/>
  <c r="F201" i="3"/>
  <c r="F209" i="3" s="1"/>
  <c r="D199" i="3"/>
  <c r="K169" i="3" l="1"/>
  <c r="J169" i="3" s="1"/>
  <c r="K242" i="3"/>
  <c r="J242" i="3" s="1"/>
  <c r="K164" i="3"/>
  <c r="J164" i="3" s="1"/>
  <c r="K166" i="3"/>
  <c r="J166" i="3" s="1"/>
  <c r="K167" i="3"/>
  <c r="J167" i="3" s="1"/>
  <c r="K168" i="3"/>
  <c r="J168" i="3" s="1"/>
  <c r="K162" i="3"/>
  <c r="J162" i="3" s="1"/>
  <c r="D203" i="3"/>
  <c r="K203" i="3" s="1"/>
  <c r="J203" i="3" s="1"/>
  <c r="K195" i="3"/>
  <c r="J195" i="3" s="1"/>
  <c r="K243" i="3"/>
  <c r="J243" i="3" s="1"/>
  <c r="D205" i="3"/>
  <c r="K205" i="3" s="1"/>
  <c r="J205" i="3" s="1"/>
  <c r="K197" i="3"/>
  <c r="J197" i="3" s="1"/>
  <c r="K245" i="3"/>
  <c r="J245" i="3" s="1"/>
  <c r="K247" i="3"/>
  <c r="J247" i="3" s="1"/>
  <c r="K249" i="3"/>
  <c r="J249" i="3" s="1"/>
  <c r="K234" i="3"/>
  <c r="J234" i="3" s="1"/>
  <c r="K194" i="3"/>
  <c r="J194" i="3" s="1"/>
  <c r="D202" i="3"/>
  <c r="K202" i="3" s="1"/>
  <c r="J202" i="3" s="1"/>
  <c r="K235" i="3"/>
  <c r="J235" i="3" s="1"/>
  <c r="K163" i="3"/>
  <c r="J163" i="3" s="1"/>
  <c r="K236" i="3"/>
  <c r="J236" i="3" s="1"/>
  <c r="D204" i="3"/>
  <c r="K204" i="3" s="1"/>
  <c r="J204" i="3" s="1"/>
  <c r="K196" i="3"/>
  <c r="J196" i="3" s="1"/>
  <c r="K237" i="3"/>
  <c r="J237" i="3" s="1"/>
  <c r="K165" i="3"/>
  <c r="J165" i="3" s="1"/>
  <c r="K238" i="3"/>
  <c r="J238" i="3" s="1"/>
  <c r="D206" i="3"/>
  <c r="K206" i="3" s="1"/>
  <c r="J206" i="3" s="1"/>
  <c r="K198" i="3"/>
  <c r="J198" i="3" s="1"/>
  <c r="K239" i="3"/>
  <c r="J239" i="3" s="1"/>
  <c r="K240" i="3"/>
  <c r="J240" i="3" s="1"/>
  <c r="K248" i="3"/>
  <c r="J248" i="3" s="1"/>
  <c r="K241" i="3"/>
  <c r="J241" i="3" s="1"/>
  <c r="K244" i="3"/>
  <c r="J244" i="3" s="1"/>
  <c r="K246" i="3"/>
  <c r="J246" i="3" s="1"/>
  <c r="D208" i="3"/>
  <c r="K208" i="3" s="1"/>
  <c r="J208" i="3" s="1"/>
  <c r="K200" i="3"/>
  <c r="J200" i="3" s="1"/>
  <c r="K199" i="3"/>
  <c r="J199" i="3" s="1"/>
  <c r="K201" i="3"/>
  <c r="J201" i="3" s="1"/>
  <c r="G207" i="3"/>
  <c r="G209" i="3"/>
  <c r="D207" i="3"/>
  <c r="K207" i="3" s="1"/>
  <c r="J207" i="3" s="1"/>
  <c r="D209" i="3"/>
  <c r="K209" i="3" s="1"/>
  <c r="J209" i="3" s="1"/>
</calcChain>
</file>

<file path=xl/sharedStrings.xml><?xml version="1.0" encoding="utf-8"?>
<sst xmlns="http://schemas.openxmlformats.org/spreadsheetml/2006/main" count="1327" uniqueCount="254">
  <si>
    <t>Plataforma Bogota</t>
  </si>
  <si>
    <t>Indicador</t>
  </si>
  <si>
    <t>Costo de capital</t>
  </si>
  <si>
    <t>Site</t>
  </si>
  <si>
    <t>Plataforma Guadalajara</t>
  </si>
  <si>
    <t>Plataforma Madrid</t>
  </si>
  <si>
    <t>Masivo Madrid</t>
  </si>
  <si>
    <t>Red Lima</t>
  </si>
  <si>
    <t>Red Santiago</t>
  </si>
  <si>
    <t>Jazzplat Lima</t>
  </si>
  <si>
    <t>Icp Bogota</t>
  </si>
  <si>
    <t>Capital Bodega anual 2016</t>
  </si>
  <si>
    <t>Capital Bodega anual 2017</t>
  </si>
  <si>
    <t>Capital Bodega anual 2018</t>
  </si>
  <si>
    <t>Capital Bodega anual 2019</t>
  </si>
  <si>
    <t>Cantidad anual 2016</t>
  </si>
  <si>
    <t>Cantidad anual 2017</t>
  </si>
  <si>
    <t>Cantidad anual 2018</t>
  </si>
  <si>
    <t>Cantidad anual 2019</t>
  </si>
  <si>
    <t>VPA 2016</t>
  </si>
  <si>
    <t>VPA 2017</t>
  </si>
  <si>
    <t>VPA 2018</t>
  </si>
  <si>
    <t>VPA 2019</t>
  </si>
  <si>
    <t>Ingresos Total Bodega 2016</t>
  </si>
  <si>
    <t>Ingresos Total Bodega 2017</t>
  </si>
  <si>
    <t>Ingresos Total Bodega 2018</t>
  </si>
  <si>
    <t>Ingresos Total Bodega 2019</t>
  </si>
  <si>
    <t>Salidas toal Bodega 2016</t>
  </si>
  <si>
    <t>Salidas toal Bodega 2017</t>
  </si>
  <si>
    <t>Salidas toal Bodega 2018</t>
  </si>
  <si>
    <t>Salidas toal Bodega 2019</t>
  </si>
  <si>
    <t>Cda total admo 2016</t>
  </si>
  <si>
    <t>Cda total admo 2017</t>
  </si>
  <si>
    <t>Cda total admo 2018</t>
  </si>
  <si>
    <t>Cda total admo 2019</t>
  </si>
  <si>
    <t>Cda total operacional 2016</t>
  </si>
  <si>
    <t>Cda total operacional 2017</t>
  </si>
  <si>
    <t>Cda total operacional 2018</t>
  </si>
  <si>
    <t>Cda total operacional 2019</t>
  </si>
  <si>
    <t>Costo por unidad de despacho</t>
  </si>
  <si>
    <t>Costo por metro cuadrado</t>
  </si>
  <si>
    <t>Area de Bodega central bogota</t>
  </si>
  <si>
    <t>Area icp Bogota</t>
  </si>
  <si>
    <t>Jazplat Lima y red Lima</t>
  </si>
  <si>
    <t>sin dato</t>
  </si>
  <si>
    <t>TMR Anual 2016</t>
  </si>
  <si>
    <t>TMR Anual 2017</t>
  </si>
  <si>
    <t>TMR Anual 2018</t>
  </si>
  <si>
    <t>TMR Anual 2019</t>
  </si>
  <si>
    <t>Ciclo total de un pedido (TMR)</t>
  </si>
  <si>
    <t xml:space="preserve">Promedio entregas 2016 </t>
  </si>
  <si>
    <t>Promedio entregas 2017</t>
  </si>
  <si>
    <t>Promedio entregas 2018</t>
  </si>
  <si>
    <t>Promedio entregas 2019</t>
  </si>
  <si>
    <t>Promedio entrgeas Exter 2016</t>
  </si>
  <si>
    <t>Promedio entrgeas Exter 2017</t>
  </si>
  <si>
    <t>Promedio entrgeas Exter 2018</t>
  </si>
  <si>
    <t>Promedio entrgeas Exter 2019</t>
  </si>
  <si>
    <t>Entregas efectuadas 2016</t>
  </si>
  <si>
    <t>Entregas efectuadas 2017</t>
  </si>
  <si>
    <t>Entregas efectuadas 2018</t>
  </si>
  <si>
    <t>Entregas efectuadas 2019</t>
  </si>
  <si>
    <t>Reclamacion de daño 2016</t>
  </si>
  <si>
    <t>Reclamacion de daño 2017</t>
  </si>
  <si>
    <t>Reclamacion de daño 2018</t>
  </si>
  <si>
    <t>Reclamacion de daño 2019</t>
  </si>
  <si>
    <t>Pedidos entregados correctamente</t>
  </si>
  <si>
    <t>Satisfaccion de BPO 2016</t>
  </si>
  <si>
    <t>Satisfaccion de BPO 2017</t>
  </si>
  <si>
    <t>Satisfaccion de BPO 2018</t>
  </si>
  <si>
    <t>Satisfaccion de BPO 2019</t>
  </si>
  <si>
    <t>Satisfaccion de cliente 2016</t>
  </si>
  <si>
    <t>Satisfaccion de cliente 2017</t>
  </si>
  <si>
    <t>Satisfaccion de cliente 2018</t>
  </si>
  <si>
    <t>Satisfaccion de cliente 2019</t>
  </si>
  <si>
    <t>Pedidos con retrasos de transporte out</t>
  </si>
  <si>
    <t>Retraso transporte outsourcing 2016</t>
  </si>
  <si>
    <t>Retraso transporte outsourcing 2017</t>
  </si>
  <si>
    <t>Retraso transporte outsourcing 2018</t>
  </si>
  <si>
    <t>Retraso transporte outsourcing 2019</t>
  </si>
  <si>
    <t>Etiquetas de fila</t>
  </si>
  <si>
    <t>Total general</t>
  </si>
  <si>
    <t>Suma de 2016</t>
  </si>
  <si>
    <t>Suma de 2017</t>
  </si>
  <si>
    <t>Suma de 2018</t>
  </si>
  <si>
    <t>Suma de 2019</t>
  </si>
  <si>
    <t xml:space="preserve">Tipo </t>
  </si>
  <si>
    <t>Tiempo</t>
  </si>
  <si>
    <t>Calidad</t>
  </si>
  <si>
    <t>Productividad</t>
  </si>
  <si>
    <t>Numero de pedidos despachados</t>
  </si>
  <si>
    <t>Ordenes Relizadas a site 2016</t>
  </si>
  <si>
    <t>Ordenes Relizadas a site 2017</t>
  </si>
  <si>
    <t>Ordenes Relizadas a site 2018</t>
  </si>
  <si>
    <t>Ordenes Relizadas a site 2019</t>
  </si>
  <si>
    <t>Numero de ordenes por año</t>
  </si>
  <si>
    <t>Uap 1502 2016</t>
  </si>
  <si>
    <t>Uap 1502 2017</t>
  </si>
  <si>
    <t>Uap 1502 2018</t>
  </si>
  <si>
    <t>Uap 1502 2019</t>
  </si>
  <si>
    <t>Productivo</t>
  </si>
  <si>
    <t>Entregas perfectas</t>
  </si>
  <si>
    <t>Devoluciones rechazos o averias</t>
  </si>
  <si>
    <t>Devoluciones rechazos o averias2</t>
  </si>
  <si>
    <t>Devoluciones rechazos o averias3</t>
  </si>
  <si>
    <t>Devoluciones rechazos o averias4</t>
  </si>
  <si>
    <t>Rotacion de mercacion interacional 2016</t>
  </si>
  <si>
    <t>Rotacion de mercacion interacional 2017</t>
  </si>
  <si>
    <t>Rotacion de mercacion interacional 2018</t>
  </si>
  <si>
    <t>Rotacion de mercacion interacional 2019</t>
  </si>
  <si>
    <t>Rot de mercacion Nacional 2016</t>
  </si>
  <si>
    <t>Rot de mercacion Nacional 2017</t>
  </si>
  <si>
    <t>Rot de mercacion Nacional 2018</t>
  </si>
  <si>
    <t>Rot de mercacion Nacional 2019</t>
  </si>
  <si>
    <t>Rot2 de mercacion interacional 2016</t>
  </si>
  <si>
    <t>Rot2 de mercacion interacional 2017</t>
  </si>
  <si>
    <t>Rot2 de mercacion interacional 2018</t>
  </si>
  <si>
    <t>Rot2 de mercacion interacional 2019</t>
  </si>
  <si>
    <t>Averias de bodega anual 2016</t>
  </si>
  <si>
    <t>Averias de bodega anual 2017</t>
  </si>
  <si>
    <t>Averias de bodega anual 2018</t>
  </si>
  <si>
    <t>Averias de bodega anual 2019</t>
  </si>
  <si>
    <t>Vejez del inventario</t>
  </si>
  <si>
    <t>Ya no terceriza</t>
  </si>
  <si>
    <t>Índice cumplimiento transporte outsourcing por solicitudes realizadas</t>
  </si>
  <si>
    <t>Índice cumplimiento transporte outsourcing por solicitudes realizadas 2016</t>
  </si>
  <si>
    <t>Índice cumplimiento transporte outsourcing por solicitudes realizadas 2017</t>
  </si>
  <si>
    <t>Índice cumplimiento transporte outsourcing por solicitudes realizadas 2018</t>
  </si>
  <si>
    <t>Índice cumplimiento transporte outsourcing por solicitudes realizadas 2019</t>
  </si>
  <si>
    <t>Entregas a tiempo</t>
  </si>
  <si>
    <t xml:space="preserve">Financiero </t>
  </si>
  <si>
    <t>Costo de transporte tercerizado</t>
  </si>
  <si>
    <t>Costo de transporte tercerizado 2016</t>
  </si>
  <si>
    <t>Costo de transporte tercerizado 2017</t>
  </si>
  <si>
    <t>Costo de transporte tercerizado 2018</t>
  </si>
  <si>
    <t>Costo de transporte tercerizado 2019</t>
  </si>
  <si>
    <t>Capacidad Bodega</t>
  </si>
  <si>
    <t>Proveedores certificados</t>
  </si>
  <si>
    <t>Provedores</t>
  </si>
  <si>
    <t>Estimaciones</t>
  </si>
  <si>
    <t>Valor ventas 2016</t>
  </si>
  <si>
    <t>Valor ventas 2017</t>
  </si>
  <si>
    <t>Valor ventas 2018</t>
  </si>
  <si>
    <t>Valor ventas 2019</t>
  </si>
  <si>
    <t>Volumen de compras</t>
  </si>
  <si>
    <t>Costo del inventario</t>
  </si>
  <si>
    <t>Trabajadores en despacho 2016</t>
  </si>
  <si>
    <t>Trabajadores en despacho 2017</t>
  </si>
  <si>
    <t>Trabajadores en despacho 2018</t>
  </si>
  <si>
    <t>Trabajadores en despacho 2019</t>
  </si>
  <si>
    <t>Unidades despachadas por empleado</t>
  </si>
  <si>
    <t>Costo operativo de bodega</t>
  </si>
  <si>
    <t>Pronostico 2020 PP</t>
  </si>
  <si>
    <t>Alfa</t>
  </si>
  <si>
    <t>Objetivo 100%</t>
  </si>
  <si>
    <t>Objetivo 150%</t>
  </si>
  <si>
    <t>Odjetivo</t>
  </si>
  <si>
    <t>Suma de Objetivo 100%</t>
  </si>
  <si>
    <t>Suma de Objetivo 150%</t>
  </si>
  <si>
    <t xml:space="preserve"> Objetivo 100%</t>
  </si>
  <si>
    <t xml:space="preserve"> Objetivo 150%</t>
  </si>
  <si>
    <t>Financiero</t>
  </si>
  <si>
    <t>Ciclo de orden de compra (Nacional)</t>
  </si>
  <si>
    <t>Icp Bogotá</t>
  </si>
  <si>
    <t>Plataforma Bogotá</t>
  </si>
  <si>
    <t>Satisfacción cliente directo</t>
  </si>
  <si>
    <t>Satisfacción cliente final</t>
  </si>
  <si>
    <t>Pedidos con averías o incidencias</t>
  </si>
  <si>
    <t>Certificación de proveedores</t>
  </si>
  <si>
    <t>Promedio de despachos por día</t>
  </si>
  <si>
    <t>Rotación Productos nacionales</t>
  </si>
  <si>
    <t>Rotación Productos internacionales</t>
  </si>
  <si>
    <t>Utilización de bodega (área utilizada/área disponible)</t>
  </si>
  <si>
    <t>Promedio de ordenes por día</t>
  </si>
  <si>
    <t>Pronostico 2020 suavización</t>
  </si>
  <si>
    <t>Costo logística vs utilidad</t>
  </si>
  <si>
    <t>Costo de almacén por unidad</t>
  </si>
  <si>
    <t>Costos logísticos vs ventas</t>
  </si>
  <si>
    <t>Ciclo de orden de compra (internacional)</t>
  </si>
  <si>
    <t>out TMR 2016</t>
  </si>
  <si>
    <t>out TMR 2017</t>
  </si>
  <si>
    <t>out TMR 2018</t>
  </si>
  <si>
    <t>out TMR 2019</t>
  </si>
  <si>
    <t>TMR out</t>
  </si>
  <si>
    <t xml:space="preserve"> Suma de 2018</t>
  </si>
  <si>
    <t xml:space="preserve"> Suma de 2017</t>
  </si>
  <si>
    <t xml:space="preserve"> Suma de 2016</t>
  </si>
  <si>
    <t>Suma de Pronostico 2020 suavización</t>
  </si>
  <si>
    <t>Adamo</t>
  </si>
  <si>
    <t>Cencosud</t>
  </si>
  <si>
    <t>RCP</t>
  </si>
  <si>
    <t>Grupo E</t>
  </si>
  <si>
    <t>Mercada S.A.</t>
  </si>
  <si>
    <t>Distrito</t>
  </si>
  <si>
    <t>Gobernacion</t>
  </si>
  <si>
    <t>Cliente superficie</t>
  </si>
  <si>
    <t>Dato macro 1.1</t>
  </si>
  <si>
    <t xml:space="preserve">FC Cumplimiento </t>
  </si>
  <si>
    <t>Gobernación</t>
  </si>
  <si>
    <t>Adamo TDE</t>
  </si>
  <si>
    <t>Entrega perfecta</t>
  </si>
  <si>
    <t>Calidad de proceso</t>
  </si>
  <si>
    <t>Macro TXT</t>
  </si>
  <si>
    <t>Legajo cliente</t>
  </si>
  <si>
    <t>Pedidos/venta</t>
  </si>
  <si>
    <t>Unidades 500 gramos</t>
  </si>
  <si>
    <t>Unidades 200 gramos</t>
  </si>
  <si>
    <t>Cierre</t>
  </si>
  <si>
    <t>Octubre</t>
  </si>
  <si>
    <t>Adamo (1116269)</t>
  </si>
  <si>
    <t>Cencosud (1116234)</t>
  </si>
  <si>
    <t>RCP (N/A 45)</t>
  </si>
  <si>
    <t>Grupo E (1113456)</t>
  </si>
  <si>
    <t>Adamo TDE (pasarela)</t>
  </si>
  <si>
    <t>Mercada S.A. (pasarela)</t>
  </si>
  <si>
    <t>Granel</t>
  </si>
  <si>
    <t>Capacidad</t>
  </si>
  <si>
    <t>N/A</t>
  </si>
  <si>
    <t>Proyeccion suavizada</t>
  </si>
  <si>
    <t>Proyeccion Estimada Ganel</t>
  </si>
  <si>
    <t>Promedio de Unidades 200 gramos</t>
  </si>
  <si>
    <t>Promedio de Unidades 500 gramos</t>
  </si>
  <si>
    <t>Promedio de Granel</t>
  </si>
  <si>
    <t>Promedio de Capacidad</t>
  </si>
  <si>
    <t>Promedio de Proyeccion suavizada</t>
  </si>
  <si>
    <t>Promedio de Proyeccion Estimada Ganel</t>
  </si>
  <si>
    <t>Toneladas en octubre</t>
  </si>
  <si>
    <t>Toneladas proyectadas para Febrero</t>
  </si>
  <si>
    <t>Semana de 12/10/2020 -  18/10/2020</t>
  </si>
  <si>
    <t>Semana de 19/10/2020 -  25/10/2021</t>
  </si>
  <si>
    <t>Semana de 26/10/2020 -  01/11/2022</t>
  </si>
  <si>
    <t>Semana de 02/11/2020 -  08/11/2023</t>
  </si>
  <si>
    <t xml:space="preserve"> Semana de 12/10/2020 -  18/10/2020</t>
  </si>
  <si>
    <t xml:space="preserve"> Semana de 19/10/2020 -  25/10/2021</t>
  </si>
  <si>
    <t xml:space="preserve"> Semana de 26/10/2020 -  01/11/2022</t>
  </si>
  <si>
    <t xml:space="preserve"> Semana de 02/11/2020 -  08/11/2023</t>
  </si>
  <si>
    <t>Indicadores ya establecidos</t>
  </si>
  <si>
    <t>Indicadores específicos faltantes</t>
  </si>
  <si>
    <t>Actual</t>
  </si>
  <si>
    <t>Unidades vendidas 200 gramos</t>
  </si>
  <si>
    <t>Plataforma Cali</t>
  </si>
  <si>
    <t>Base Cota</t>
  </si>
  <si>
    <t>Masivo Bogota</t>
  </si>
  <si>
    <t>Plataforma Bucaramanga</t>
  </si>
  <si>
    <t>Red Aguachica</t>
  </si>
  <si>
    <t>Red Medellin</t>
  </si>
  <si>
    <t xml:space="preserve"> Pronostico año 2022: </t>
  </si>
  <si>
    <t>Rotación Productos internacionales2</t>
  </si>
  <si>
    <t>Mercafruver (1116234)</t>
  </si>
  <si>
    <t>Javi fruver (N/A 45)</t>
  </si>
  <si>
    <t>Fruver La Gran Cosecha (1113456)</t>
  </si>
  <si>
    <t>Distrifuver (1116234)</t>
  </si>
  <si>
    <t>Inversiones Loperena (N/A 45)</t>
  </si>
  <si>
    <t>Fatca S.L. (1113456)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</si>
</sst>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$&quot;\ * #,##0_-;\-&quot;$&quot;\ * #,##0_-;_-&quot;$&quot;\ * &quot;-&quot;_-;_-@_-"/>
    <numFmt numFmtId="41" formatCode="_-* #,##0_-;\-* #,##0_-;_-* &quot;-&quot;_-;_-@_-"/>
    <numFmt numFmtId="164" formatCode="_-&quot;$&quot;* #,##0.00_-;\-&quot;$&quot;* #,##0.00_-;_-&quot;$&quot;* &quot;-&quot;??_-;_-@_-"/>
    <numFmt numFmtId="165" formatCode="_-[$€-2]\ * #,##0.00_-;\-[$€-2]\ * #,##0.00_-;_-[$€-2]\ * &quot;-&quot;??_-;_-@_-"/>
    <numFmt numFmtId="166" formatCode="_-[$€-2]\ * #,##0_-;\-[$€-2]\ * #,##0_-;_-[$€-2]\ 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Britannic Bold"/>
      <family val="2"/>
    </font>
    <font>
      <b/>
      <sz val="20"/>
      <color theme="0"/>
      <name val="Britannic Bold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165" fontId="4" fillId="0" borderId="0" xfId="0" quotePrefix="1" applyNumberFormat="1" applyFont="1" applyBorder="1"/>
    <xf numFmtId="165" fontId="0" fillId="0" borderId="0" xfId="0" applyNumberFormat="1"/>
    <xf numFmtId="0" fontId="3" fillId="0" borderId="0" xfId="0" applyFont="1"/>
    <xf numFmtId="0" fontId="0" fillId="0" borderId="0" xfId="0"/>
    <xf numFmtId="0" fontId="0" fillId="0" borderId="1" xfId="0" applyBorder="1"/>
    <xf numFmtId="0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/>
    <xf numFmtId="2" fontId="0" fillId="0" borderId="0" xfId="0" applyNumberFormat="1"/>
    <xf numFmtId="166" fontId="0" fillId="0" borderId="0" xfId="0" applyNumberFormat="1"/>
    <xf numFmtId="2" fontId="0" fillId="4" borderId="2" xfId="0" applyNumberFormat="1" applyFont="1" applyFill="1" applyBorder="1"/>
    <xf numFmtId="2" fontId="0" fillId="0" borderId="2" xfId="0" applyNumberFormat="1" applyFont="1" applyBorder="1"/>
    <xf numFmtId="0" fontId="6" fillId="0" borderId="3" xfId="0" applyFont="1" applyBorder="1"/>
    <xf numFmtId="2" fontId="0" fillId="4" borderId="4" xfId="0" applyNumberFormat="1" applyFont="1" applyFill="1" applyBorder="1"/>
    <xf numFmtId="2" fontId="0" fillId="0" borderId="4" xfId="0" applyNumberFormat="1" applyFont="1" applyBorder="1"/>
    <xf numFmtId="0" fontId="6" fillId="0" borderId="5" xfId="0" applyFont="1" applyBorder="1"/>
    <xf numFmtId="2" fontId="0" fillId="4" borderId="6" xfId="0" applyNumberFormat="1" applyFont="1" applyFill="1" applyBorder="1"/>
    <xf numFmtId="2" fontId="0" fillId="0" borderId="6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2" fontId="0" fillId="0" borderId="10" xfId="0" applyNumberFormat="1" applyFont="1" applyBorder="1"/>
    <xf numFmtId="2" fontId="0" fillId="0" borderId="11" xfId="0" applyNumberFormat="1" applyFont="1" applyBorder="1"/>
    <xf numFmtId="2" fontId="0" fillId="0" borderId="12" xfId="0" applyNumberFormat="1" applyFont="1" applyBorder="1"/>
    <xf numFmtId="0" fontId="0" fillId="0" borderId="0" xfId="0" applyFill="1" applyBorder="1"/>
    <xf numFmtId="9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4" borderId="4" xfId="0" applyFont="1" applyFill="1" applyBorder="1"/>
    <xf numFmtId="0" fontId="3" fillId="0" borderId="4" xfId="0" applyFont="1" applyBorder="1"/>
    <xf numFmtId="0" fontId="3" fillId="4" borderId="6" xfId="0" applyFont="1" applyFill="1" applyBorder="1"/>
    <xf numFmtId="0" fontId="3" fillId="0" borderId="6" xfId="0" applyFont="1" applyBorder="1"/>
    <xf numFmtId="0" fontId="3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164" fontId="0" fillId="0" borderId="0" xfId="1" applyFont="1"/>
    <xf numFmtId="0" fontId="7" fillId="0" borderId="1" xfId="0" applyFont="1" applyBorder="1"/>
    <xf numFmtId="10" fontId="7" fillId="0" borderId="1" xfId="2" applyNumberFormat="1" applyFont="1" applyBorder="1"/>
    <xf numFmtId="0" fontId="9" fillId="3" borderId="1" xfId="0" applyFont="1" applyFill="1" applyBorder="1"/>
    <xf numFmtId="2" fontId="7" fillId="0" borderId="1" xfId="2" applyNumberFormat="1" applyFont="1" applyBorder="1"/>
    <xf numFmtId="0" fontId="11" fillId="3" borderId="1" xfId="0" applyFont="1" applyFill="1" applyBorder="1"/>
    <xf numFmtId="0" fontId="10" fillId="0" borderId="0" xfId="0" applyFont="1"/>
    <xf numFmtId="9" fontId="0" fillId="0" borderId="0" xfId="2" applyFont="1"/>
    <xf numFmtId="0" fontId="6" fillId="0" borderId="14" xfId="0" applyFont="1" applyBorder="1"/>
    <xf numFmtId="167" fontId="0" fillId="0" borderId="0" xfId="2" applyNumberFormat="1" applyFont="1"/>
    <xf numFmtId="0" fontId="6" fillId="0" borderId="15" xfId="0" applyFont="1" applyFill="1" applyBorder="1"/>
    <xf numFmtId="2" fontId="0" fillId="0" borderId="1" xfId="0" applyNumberFormat="1" applyBorder="1"/>
    <xf numFmtId="0" fontId="0" fillId="2" borderId="0" xfId="0" applyFill="1"/>
    <xf numFmtId="0" fontId="0" fillId="0" borderId="0" xfId="0" applyFill="1"/>
    <xf numFmtId="2" fontId="0" fillId="0" borderId="0" xfId="0" applyNumberFormat="1" applyFont="1" applyFill="1" applyBorder="1"/>
    <xf numFmtId="165" fontId="0" fillId="0" borderId="0" xfId="1" applyNumberFormat="1" applyFont="1"/>
    <xf numFmtId="9" fontId="14" fillId="0" borderId="0" xfId="0" applyNumberFormat="1" applyFont="1"/>
    <xf numFmtId="0" fontId="14" fillId="0" borderId="0" xfId="0" applyFont="1"/>
    <xf numFmtId="0" fontId="0" fillId="5" borderId="0" xfId="0" applyFill="1"/>
    <xf numFmtId="0" fontId="0" fillId="0" borderId="0" xfId="2" applyNumberFormat="1" applyFont="1"/>
    <xf numFmtId="0" fontId="0" fillId="0" borderId="0" xfId="1" applyNumberFormat="1" applyFont="1"/>
    <xf numFmtId="1" fontId="0" fillId="0" borderId="0" xfId="2" applyNumberFormat="1" applyFont="1"/>
    <xf numFmtId="2" fontId="0" fillId="0" borderId="0" xfId="2" applyNumberFormat="1" applyFont="1"/>
    <xf numFmtId="165" fontId="0" fillId="0" borderId="1" xfId="1" applyNumberFormat="1" applyFont="1" applyBorder="1"/>
    <xf numFmtId="14" fontId="14" fillId="0" borderId="0" xfId="0" applyNumberFormat="1" applyFont="1"/>
    <xf numFmtId="3" fontId="0" fillId="0" borderId="0" xfId="0" applyNumberFormat="1"/>
    <xf numFmtId="0" fontId="0" fillId="0" borderId="1" xfId="0" pivotButton="1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9" fontId="0" fillId="0" borderId="1" xfId="0" applyNumberFormat="1" applyBorder="1"/>
    <xf numFmtId="1" fontId="0" fillId="0" borderId="1" xfId="0" applyNumberFormat="1" applyBorder="1"/>
    <xf numFmtId="0" fontId="0" fillId="0" borderId="0" xfId="0" applyBorder="1"/>
    <xf numFmtId="0" fontId="15" fillId="0" borderId="16" xfId="0" applyFont="1" applyBorder="1" applyAlignment="1">
      <alignment horizontal="center" wrapText="1" readingOrder="1"/>
    </xf>
    <xf numFmtId="0" fontId="16" fillId="0" borderId="17" xfId="0" applyFont="1" applyBorder="1" applyAlignment="1">
      <alignment horizontal="center" wrapText="1" readingOrder="1"/>
    </xf>
    <xf numFmtId="0" fontId="16" fillId="0" borderId="18" xfId="0" applyFont="1" applyBorder="1" applyAlignment="1">
      <alignment horizontal="center" wrapText="1" readingOrder="1"/>
    </xf>
    <xf numFmtId="0" fontId="16" fillId="0" borderId="19" xfId="0" applyFont="1" applyBorder="1" applyAlignment="1">
      <alignment horizontal="center" wrapText="1" readingOrder="1"/>
    </xf>
    <xf numFmtId="17" fontId="0" fillId="0" borderId="0" xfId="0" applyNumberFormat="1"/>
    <xf numFmtId="0" fontId="8" fillId="3" borderId="13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0" fontId="12" fillId="0" borderId="0" xfId="2" applyNumberFormat="1" applyFont="1" applyAlignment="1">
      <alignment horizontal="center" vertical="center"/>
    </xf>
    <xf numFmtId="2" fontId="12" fillId="0" borderId="0" xfId="2" applyNumberFormat="1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</cellXfs>
  <cellStyles count="6">
    <cellStyle name="Millares [0] 2" xfId="3" xr:uid="{EEBFF273-2425-4DA8-A96A-F342A74261EC}"/>
    <cellStyle name="Moneda" xfId="1" builtinId="4"/>
    <cellStyle name="Moneda [0] 2" xfId="4" xr:uid="{54CACE15-6682-4F6F-BA6A-31171F25B770}"/>
    <cellStyle name="Normal" xfId="0" builtinId="0"/>
    <cellStyle name="Normal 2" xfId="5" xr:uid="{112E362C-123F-4A8C-BECC-C3D723593EE9}"/>
    <cellStyle name="Porcentaje" xfId="2" builtinId="5"/>
  </cellStyles>
  <dxfs count="128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left style="thin">
          <color theme="1"/>
        </left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numFmt numFmtId="165" formatCode="_-[$€-2]\ * #,##0.00_-;\-[$€-2]\ * #,##0.00_-;_-[$€-2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5" formatCode="_-[$€-2]\ * #,##0.00_-;\-[$€-2]\ * #,##0.00_-;_-[$€-2]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numFmt numFmtId="13" formatCode="0%"/>
    </dxf>
    <dxf>
      <numFmt numFmtId="1" formatCode="0"/>
    </dxf>
    <dxf>
      <alignment vertical="center"/>
    </dxf>
    <dxf>
      <alignment horizontal="center"/>
    </dxf>
    <dxf>
      <alignment wrapText="1"/>
    </dxf>
    <dxf>
      <alignment wrapText="1"/>
    </dxf>
    <dxf>
      <numFmt numFmtId="13" formatCode="0%"/>
    </dxf>
    <dxf>
      <alignment horizontal="center"/>
    </dxf>
    <dxf>
      <alignment wrapText="1"/>
    </dxf>
    <dxf>
      <alignment horizontal="center"/>
    </dxf>
    <dxf>
      <alignment wrapText="1"/>
    </dxf>
    <dxf>
      <alignment wrapText="1"/>
    </dxf>
    <dxf>
      <alignment wrapText="1"/>
    </dxf>
    <dxf>
      <numFmt numFmtId="13" formatCode="0%"/>
    </dxf>
    <dxf>
      <numFmt numFmtId="13" formatCode="0%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4" formatCode="0.00%"/>
    </dxf>
    <dxf>
      <font>
        <color rgb="FF9C0006"/>
      </font>
      <fill>
        <patternFill>
          <bgColor rgb="FFFFC7CE"/>
        </patternFill>
      </fill>
    </dxf>
    <dxf>
      <font>
        <b/>
        <color theme="1"/>
      </font>
      <fill>
        <patternFill>
          <fgColor rgb="FFFFC000"/>
        </patternFill>
      </fill>
      <border>
        <bottom style="thin">
          <color theme="7"/>
        </bottom>
        <vertical/>
        <horizontal/>
      </border>
    </dxf>
    <dxf>
      <font>
        <color theme="1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font>
        <b/>
        <color theme="1"/>
      </font>
      <border>
        <bottom style="thin">
          <color theme="7"/>
        </bottom>
        <vertical/>
        <horizontal/>
      </border>
    </dxf>
    <dxf>
      <font>
        <color theme="1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7"/>
      </font>
      <border>
        <bottom style="thin">
          <color theme="7"/>
        </bottom>
        <vertical/>
        <horizontal/>
      </border>
    </dxf>
    <dxf>
      <font>
        <color theme="1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font>
        <b/>
        <color theme="1"/>
      </font>
      <border>
        <bottom style="thin">
          <color theme="7"/>
        </bottom>
        <vertical/>
        <horizontal/>
      </border>
    </dxf>
    <dxf>
      <font>
        <color theme="1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4" defaultTableStyle="TableStyleMedium2" defaultPivotStyle="PivotStyleLight16">
    <tableStyle name="SlicerStyleLight4 2" pivot="0" table="0" count="10" xr9:uid="{3F32417F-279B-4841-80BD-C8EA58D93E99}">
      <tableStyleElement type="wholeTable" dxfId="127"/>
      <tableStyleElement type="headerRow" dxfId="126"/>
    </tableStyle>
    <tableStyle name="SlicerStyleLight4 3" pivot="0" table="0" count="10" xr9:uid="{8EC1217C-7651-4CD8-B088-FB945520463F}">
      <tableStyleElement type="wholeTable" dxfId="125"/>
      <tableStyleElement type="headerRow" dxfId="124"/>
    </tableStyle>
    <tableStyle name="SlicerStyleLight4 4" pivot="0" table="0" count="10" xr9:uid="{E73E7100-A59F-4FA1-B416-BC0FE3EC73B5}">
      <tableStyleElement type="wholeTable" dxfId="123"/>
      <tableStyleElement type="headerRow" dxfId="122"/>
    </tableStyle>
    <tableStyle name="SlicerStyleLight4 5" pivot="0" table="0" count="10" xr9:uid="{29CBE1FD-7590-41F3-BE31-9B03D1202E9A}">
      <tableStyleElement type="wholeTable" dxfId="121"/>
      <tableStyleElement type="headerRow" dxfId="120"/>
    </tableStyle>
  </tableStyles>
  <extLst>
    <ext xmlns:x14="http://schemas.microsoft.com/office/spreadsheetml/2009/9/main" uri="{46F421CA-312F-682f-3DD2-61675219B42D}">
      <x14:dxfs count="32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C000"/>
              <bgColor rgb="FFFFC000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C000"/>
              <bgColor theme="7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7" tint="0.79998168889431442"/>
              <bgColor theme="7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3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4 2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StyleLight4 3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StyleLight4 4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4 5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microsoft.com/office/2007/relationships/slicerCache" Target="slicerCaches/slicerCache9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microsoft.com/office/2007/relationships/slicerCache" Target="slicerCaches/slicerCache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microsoft.com/office/2007/relationships/slicerCache" Target="slicerCaches/slicerCache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23" Type="http://schemas.openxmlformats.org/officeDocument/2006/relationships/styles" Target="styles.xml"/><Relationship Id="rId10" Type="http://schemas.openxmlformats.org/officeDocument/2006/relationships/pivotCacheDefinition" Target="pivotCache/pivotCacheDefinition3.xml"/><Relationship Id="rId19" Type="http://schemas.microsoft.com/office/2007/relationships/slicerCache" Target="slicerCaches/slicerCache7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2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ICP - Sebastian Bonilla.xlsx]Dinamicas!TablaDinámica9</c:name>
    <c:fmtId val="1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86681457170441"/>
          <c:y val="0.19250015915367488"/>
          <c:w val="0.70221767676767688"/>
          <c:h val="0.631632539682539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Dinamicas!$F$3</c:f>
              <c:strCache>
                <c:ptCount val="1"/>
                <c:pt idx="0">
                  <c:v> 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Dinamicas!$E$4:$E$6</c:f>
              <c:multiLvlStrCache>
                <c:ptCount val="1"/>
                <c:lvl>
                  <c:pt idx="0">
                    <c:v>Pedidos con averías o incidencias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Dinamicas!$F$4:$F$6</c:f>
              <c:numCache>
                <c:formatCode>0.00</c:formatCode>
                <c:ptCount val="1"/>
                <c:pt idx="0">
                  <c:v>2.0199999999999999E-2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20-405F-95FC-BF148ABB90DF}"/>
            </c:ext>
          </c:extLst>
        </c:ser>
        <c:ser>
          <c:idx val="1"/>
          <c:order val="1"/>
          <c:tx>
            <c:strRef>
              <c:f>Dinamicas!$G$3</c:f>
              <c:strCache>
                <c:ptCount val="1"/>
                <c:pt idx="0">
                  <c:v> 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Dinamicas!$E$4:$E$6</c:f>
              <c:multiLvlStrCache>
                <c:ptCount val="1"/>
                <c:lvl>
                  <c:pt idx="0">
                    <c:v>Pedidos con averías o incidencias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Dinamicas!$G$4:$G$6</c:f>
              <c:numCache>
                <c:formatCode>0.00</c:formatCode>
                <c:ptCount val="1"/>
                <c:pt idx="0">
                  <c:v>1.9900000000000001E-2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20-405F-95FC-BF148ABB90DF}"/>
            </c:ext>
          </c:extLst>
        </c:ser>
        <c:ser>
          <c:idx val="2"/>
          <c:order val="2"/>
          <c:tx>
            <c:strRef>
              <c:f>Dinamicas!$H$3</c:f>
              <c:strCache>
                <c:ptCount val="1"/>
                <c:pt idx="0">
                  <c:v> 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Dinamicas!$E$4:$E$6</c:f>
              <c:multiLvlStrCache>
                <c:ptCount val="1"/>
                <c:lvl>
                  <c:pt idx="0">
                    <c:v>Pedidos con averías o incidencias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Dinamicas!$H$4:$H$6</c:f>
              <c:numCache>
                <c:formatCode>0.00</c:formatCode>
                <c:ptCount val="1"/>
                <c:pt idx="0">
                  <c:v>1.9800000000000002E-2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20-405F-95FC-BF148ABB90DF}"/>
            </c:ext>
          </c:extLst>
        </c:ser>
        <c:ser>
          <c:idx val="3"/>
          <c:order val="3"/>
          <c:tx>
            <c:strRef>
              <c:f>Dinamicas!$I$3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Dinamicas!$E$4:$E$6</c:f>
              <c:multiLvlStrCache>
                <c:ptCount val="1"/>
                <c:lvl>
                  <c:pt idx="0">
                    <c:v>Pedidos con averías o incidencias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Dinamicas!$I$4:$I$6</c:f>
              <c:numCache>
                <c:formatCode>0.00</c:formatCode>
                <c:ptCount val="1"/>
                <c:pt idx="0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20-405F-95FC-BF148ABB90DF}"/>
            </c:ext>
          </c:extLst>
        </c:ser>
        <c:ser>
          <c:idx val="4"/>
          <c:order val="4"/>
          <c:tx>
            <c:strRef>
              <c:f>Dinamicas!$J$3</c:f>
              <c:strCache>
                <c:ptCount val="1"/>
                <c:pt idx="0">
                  <c:v>Suma de Pronostico 2020 suavización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Dinamicas!$E$4:$E$6</c:f>
              <c:multiLvlStrCache>
                <c:ptCount val="1"/>
                <c:lvl>
                  <c:pt idx="0">
                    <c:v>Pedidos con averías o incidencias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Dinamicas!$J$4:$J$6</c:f>
              <c:numCache>
                <c:formatCode>0.00</c:formatCode>
                <c:ptCount val="1"/>
                <c:pt idx="0">
                  <c:v>2.0226000000000004E-2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5-4E4C-ABA0-F0B68C2D5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58263272"/>
        <c:axId val="358263928"/>
        <c:axId val="0"/>
      </c:bar3DChart>
      <c:catAx>
        <c:axId val="3582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8263928"/>
        <c:crosses val="autoZero"/>
        <c:auto val="1"/>
        <c:lblAlgn val="ctr"/>
        <c:lblOffset val="100"/>
        <c:noMultiLvlLbl val="0"/>
      </c:catAx>
      <c:valAx>
        <c:axId val="35826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826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53030303030305"/>
          <c:y val="9.4932539682539688E-2"/>
          <c:w val="0.28444116161616162"/>
          <c:h val="0.69926190476190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ICP - Sebastian Bonilla.xlsx]Dinamicas!TablaDinámica1</c:name>
    <c:fmtId val="1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2929292929293"/>
          <c:y val="0.19753968253968254"/>
          <c:w val="0.72146010101010105"/>
          <c:h val="0.588068714545000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Dinamicas!$AE$3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Dinamicas!$AD$4:$AD$6</c:f>
              <c:multiLvlStrCache>
                <c:ptCount val="1"/>
                <c:lvl>
                  <c:pt idx="0">
                    <c:v>Costo de almacén por unidad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Dinamicas!$AE$4:$AE$6</c:f>
              <c:numCache>
                <c:formatCode>0.00</c:formatCode>
                <c:ptCount val="1"/>
                <c:pt idx="0">
                  <c:v>0.83687956981164902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F-4409-96B0-0F761FE86D1F}"/>
            </c:ext>
          </c:extLst>
        </c:ser>
        <c:ser>
          <c:idx val="1"/>
          <c:order val="1"/>
          <c:tx>
            <c:strRef>
              <c:f>Dinamicas!$AF$3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Dinamicas!$AD$4:$AD$6</c:f>
              <c:multiLvlStrCache>
                <c:ptCount val="1"/>
                <c:lvl>
                  <c:pt idx="0">
                    <c:v>Costo de almacén por unidad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Dinamicas!$AF$4:$AF$6</c:f>
              <c:numCache>
                <c:formatCode>0.00</c:formatCode>
                <c:ptCount val="1"/>
                <c:pt idx="0">
                  <c:v>2.2316788528310645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F-4409-96B0-0F761FE86D1F}"/>
            </c:ext>
          </c:extLst>
        </c:ser>
        <c:ser>
          <c:idx val="2"/>
          <c:order val="2"/>
          <c:tx>
            <c:strRef>
              <c:f>Dinamicas!$AG$3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Dinamicas!$AD$4:$AD$6</c:f>
              <c:multiLvlStrCache>
                <c:ptCount val="1"/>
                <c:lvl>
                  <c:pt idx="0">
                    <c:v>Costo de almacén por unidad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Dinamicas!$AG$4:$AG$6</c:f>
              <c:numCache>
                <c:formatCode>0.00</c:formatCode>
                <c:ptCount val="1"/>
                <c:pt idx="0">
                  <c:v>1.7853430822648517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1F-4409-96B0-0F761FE86D1F}"/>
            </c:ext>
          </c:extLst>
        </c:ser>
        <c:ser>
          <c:idx val="3"/>
          <c:order val="3"/>
          <c:tx>
            <c:strRef>
              <c:f>Dinamicas!$AH$3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Dinamicas!$AD$4:$AD$6</c:f>
              <c:multiLvlStrCache>
                <c:ptCount val="1"/>
                <c:lvl>
                  <c:pt idx="0">
                    <c:v>Costo de almacén por unidad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Dinamicas!$AH$4:$AH$6</c:f>
              <c:numCache>
                <c:formatCode>0.00</c:formatCode>
                <c:ptCount val="1"/>
                <c:pt idx="0">
                  <c:v>0.71413723290594067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1F-4409-96B0-0F761FE86D1F}"/>
            </c:ext>
          </c:extLst>
        </c:ser>
        <c:ser>
          <c:idx val="4"/>
          <c:order val="4"/>
          <c:tx>
            <c:strRef>
              <c:f>Dinamicas!$AI$3</c:f>
              <c:strCache>
                <c:ptCount val="1"/>
                <c:pt idx="0">
                  <c:v>Suma de Pronostico 2020 suavización</c:v>
                </c:pt>
              </c:strCache>
            </c:strRef>
          </c:tx>
          <c:invertIfNegative val="0"/>
          <c:cat>
            <c:multiLvlStrRef>
              <c:f>Dinamicas!$AD$4:$AD$6</c:f>
              <c:multiLvlStrCache>
                <c:ptCount val="1"/>
                <c:lvl>
                  <c:pt idx="0">
                    <c:v>Costo de almacén por unidad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Dinamicas!$AI$4:$AI$6</c:f>
              <c:numCache>
                <c:formatCode>0.00</c:formatCode>
                <c:ptCount val="1"/>
                <c:pt idx="0">
                  <c:v>1.3950224509046985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8-4C0D-A574-31F862404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58263272"/>
        <c:axId val="358263928"/>
        <c:axId val="0"/>
      </c:bar3DChart>
      <c:catAx>
        <c:axId val="3582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8263928"/>
        <c:crosses val="autoZero"/>
        <c:auto val="1"/>
        <c:lblAlgn val="ctr"/>
        <c:lblOffset val="100"/>
        <c:noMultiLvlLbl val="0"/>
      </c:catAx>
      <c:valAx>
        <c:axId val="35826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8263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684343434343436"/>
          <c:y val="6.9734126984126982E-2"/>
          <c:w val="0.25315656565656564"/>
          <c:h val="0.69926190476190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ICP - Sebastian Bonilla.xlsx]Dinamicas!TablaDinámica5</c:name>
    <c:fmtId val="4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080007060280825"/>
          <c:y val="0.22244826379706839"/>
          <c:w val="0.70547424242424228"/>
          <c:h val="0.561090393797935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Dinamicas!$O$3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Dinamicas!$N$4:$N$6</c:f>
              <c:multiLvlStrCache>
                <c:ptCount val="1"/>
                <c:lvl>
                  <c:pt idx="0">
                    <c:v>Rotación Productos internacionales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Dinamicas!$O$4:$O$6</c:f>
              <c:numCache>
                <c:formatCode>General</c:formatCode>
                <c:ptCount val="1"/>
                <c:pt idx="0">
                  <c:v>9.4347826086956523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4-4128-A72E-C1B32D60CE60}"/>
            </c:ext>
          </c:extLst>
        </c:ser>
        <c:ser>
          <c:idx val="1"/>
          <c:order val="1"/>
          <c:tx>
            <c:strRef>
              <c:f>Dinamicas!$P$3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Dinamicas!$N$4:$N$6</c:f>
              <c:multiLvlStrCache>
                <c:ptCount val="1"/>
                <c:lvl>
                  <c:pt idx="0">
                    <c:v>Rotación Productos internacionales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Dinamicas!$P$4:$P$6</c:f>
              <c:numCache>
                <c:formatCode>General</c:formatCode>
                <c:ptCount val="1"/>
                <c:pt idx="0">
                  <c:v>10.802721088435373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4-4128-A72E-C1B32D60CE60}"/>
            </c:ext>
          </c:extLst>
        </c:ser>
        <c:ser>
          <c:idx val="2"/>
          <c:order val="2"/>
          <c:tx>
            <c:strRef>
              <c:f>Dinamicas!$Q$3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Dinamicas!$N$4:$N$6</c:f>
              <c:multiLvlStrCache>
                <c:ptCount val="1"/>
                <c:lvl>
                  <c:pt idx="0">
                    <c:v>Rotación Productos internacionales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Dinamicas!$Q$4:$Q$6</c:f>
              <c:numCache>
                <c:formatCode>General</c:formatCode>
                <c:ptCount val="1"/>
                <c:pt idx="0">
                  <c:v>10.944444444444443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54-4128-A72E-C1B32D60CE60}"/>
            </c:ext>
          </c:extLst>
        </c:ser>
        <c:ser>
          <c:idx val="3"/>
          <c:order val="3"/>
          <c:tx>
            <c:strRef>
              <c:f>Dinamicas!$R$3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Dinamicas!$N$4:$N$6</c:f>
              <c:multiLvlStrCache>
                <c:ptCount val="1"/>
                <c:lvl>
                  <c:pt idx="0">
                    <c:v>Rotación Productos internacionales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Dinamicas!$R$4:$R$6</c:f>
              <c:numCache>
                <c:formatCode>General</c:formatCode>
                <c:ptCount val="1"/>
                <c:pt idx="0">
                  <c:v>9.0505050505050519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54-4128-A72E-C1B32D60CE60}"/>
            </c:ext>
          </c:extLst>
        </c:ser>
        <c:ser>
          <c:idx val="4"/>
          <c:order val="4"/>
          <c:tx>
            <c:strRef>
              <c:f>Dinamicas!$S$3</c:f>
              <c:strCache>
                <c:ptCount val="1"/>
                <c:pt idx="0">
                  <c:v>Suma de Pronostico 2020 suavización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Dinamicas!$N$4:$N$6</c:f>
              <c:multiLvlStrCache>
                <c:ptCount val="1"/>
                <c:lvl>
                  <c:pt idx="0">
                    <c:v>Rotación Productos internacionales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Dinamicas!$S$4:$S$6</c:f>
              <c:numCache>
                <c:formatCode>General</c:formatCode>
                <c:ptCount val="1"/>
                <c:pt idx="0">
                  <c:v>10.116892079624998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F-4486-AB5C-DA5E3BB78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89152512"/>
        <c:axId val="289151200"/>
        <c:axId val="0"/>
      </c:bar3DChart>
      <c:catAx>
        <c:axId val="28915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9151200"/>
        <c:crosses val="autoZero"/>
        <c:auto val="1"/>
        <c:lblAlgn val="ctr"/>
        <c:lblOffset val="100"/>
        <c:noMultiLvlLbl val="0"/>
      </c:catAx>
      <c:valAx>
        <c:axId val="28915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915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8714646464647"/>
          <c:y val="0.1139870941549431"/>
          <c:w val="0.25312853535353536"/>
          <c:h val="0.698633134940458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ICP - Sebastian Bonilla.xlsx]Dinamicas!TablaDinámica6</c:name>
    <c:fmtId val="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765656986972625E-2"/>
          <c:y val="0.17540396563833807"/>
          <c:w val="0.71023585858585858"/>
          <c:h val="0.625733360439325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Dinamicas!$W$3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Dinamicas!$V$4:$V$6</c:f>
              <c:multiLvlStrCache>
                <c:ptCount val="1"/>
                <c:lvl>
                  <c:pt idx="0">
                    <c:v>Ciclo de orden de compra (internacional)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Dinamicas!$W$4:$W$6</c:f>
              <c:numCache>
                <c:formatCode>General</c:formatCode>
                <c:ptCount val="1"/>
                <c:pt idx="0">
                  <c:v>16.78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B-4A2A-BE9C-D53DF7C7832E}"/>
            </c:ext>
          </c:extLst>
        </c:ser>
        <c:ser>
          <c:idx val="1"/>
          <c:order val="1"/>
          <c:tx>
            <c:strRef>
              <c:f>Dinamicas!$X$3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Dinamicas!$V$4:$V$6</c:f>
              <c:multiLvlStrCache>
                <c:ptCount val="1"/>
                <c:lvl>
                  <c:pt idx="0">
                    <c:v>Ciclo de orden de compra (internacional)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Dinamicas!$X$4:$X$6</c:f>
              <c:numCache>
                <c:formatCode>General</c:formatCode>
                <c:ptCount val="1"/>
                <c:pt idx="0">
                  <c:v>16.86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B-4A2A-BE9C-D53DF7C7832E}"/>
            </c:ext>
          </c:extLst>
        </c:ser>
        <c:ser>
          <c:idx val="2"/>
          <c:order val="2"/>
          <c:tx>
            <c:strRef>
              <c:f>Dinamicas!$Y$3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Dinamicas!$V$4:$V$6</c:f>
              <c:multiLvlStrCache>
                <c:ptCount val="1"/>
                <c:lvl>
                  <c:pt idx="0">
                    <c:v>Ciclo de orden de compra (internacional)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Dinamicas!$Y$4:$Y$6</c:f>
              <c:numCache>
                <c:formatCode>General</c:formatCode>
                <c:ptCount val="1"/>
                <c:pt idx="0">
                  <c:v>17.11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B-4A2A-BE9C-D53DF7C7832E}"/>
            </c:ext>
          </c:extLst>
        </c:ser>
        <c:ser>
          <c:idx val="3"/>
          <c:order val="3"/>
          <c:tx>
            <c:strRef>
              <c:f>Dinamicas!$Z$3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Dinamicas!$V$4:$V$6</c:f>
              <c:multiLvlStrCache>
                <c:ptCount val="1"/>
                <c:lvl>
                  <c:pt idx="0">
                    <c:v>Ciclo de orden de compra (internacional)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Dinamicas!$Z$4:$Z$6</c:f>
              <c:numCache>
                <c:formatCode>General</c:formatCode>
                <c:ptCount val="1"/>
                <c:pt idx="0">
                  <c:v>17.13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B-4A2A-BE9C-D53DF7C7832E}"/>
            </c:ext>
          </c:extLst>
        </c:ser>
        <c:ser>
          <c:idx val="4"/>
          <c:order val="4"/>
          <c:tx>
            <c:strRef>
              <c:f>Dinamicas!$AA$3</c:f>
              <c:strCache>
                <c:ptCount val="1"/>
                <c:pt idx="0">
                  <c:v>Suma de Pronostico 2020 suavización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Dinamicas!$V$4:$V$6</c:f>
              <c:multiLvlStrCache>
                <c:ptCount val="1"/>
                <c:lvl>
                  <c:pt idx="0">
                    <c:v>Ciclo de orden de compra (internacional)</c:v>
                  </c:pt>
                </c:lvl>
                <c:lvl>
                  <c:pt idx="0">
                    <c:v>Icp Bogotá</c:v>
                  </c:pt>
                </c:lvl>
              </c:multiLvlStrCache>
            </c:multiLvlStrRef>
          </c:cat>
          <c:val>
            <c:numRef>
              <c:f>Dinamicas!$AA$4:$AA$6</c:f>
              <c:numCache>
                <c:formatCode>General</c:formatCode>
                <c:ptCount val="1"/>
                <c:pt idx="0">
                  <c:v>17.011199999999999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5-45BF-BC42-542791416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50684792"/>
        <c:axId val="350681184"/>
        <c:axId val="0"/>
      </c:bar3DChart>
      <c:catAx>
        <c:axId val="35068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0681184"/>
        <c:crosses val="autoZero"/>
        <c:auto val="1"/>
        <c:lblAlgn val="ctr"/>
        <c:lblOffset val="100"/>
        <c:noMultiLvlLbl val="0"/>
      </c:catAx>
      <c:valAx>
        <c:axId val="3506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068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8080808080808"/>
          <c:y val="8.5226470779473068E-2"/>
          <c:w val="0.2691919191919192"/>
          <c:h val="0.698633134940458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i="0" u="none" strike="noStrike" baseline="0">
                <a:effectLst/>
              </a:rPr>
              <a:t>Unidades vendidas granel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'Fuente total'!$T$81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'Fuente total'!$S$82:$S$83</c:f>
              <c:strCache>
                <c:ptCount val="2"/>
                <c:pt idx="0">
                  <c:v>Distrito</c:v>
                </c:pt>
                <c:pt idx="1">
                  <c:v>Gobernacion</c:v>
                </c:pt>
              </c:strCache>
            </c:strRef>
          </c:cat>
          <c:val>
            <c:numRef>
              <c:f>'Fuente total'!$T$82:$T$83</c:f>
              <c:numCache>
                <c:formatCode>General</c:formatCode>
                <c:ptCount val="2"/>
                <c:pt idx="0">
                  <c:v>5507</c:v>
                </c:pt>
                <c:pt idx="1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8-47A3-BFBD-44C7E76D8445}"/>
            </c:ext>
          </c:extLst>
        </c:ser>
        <c:ser>
          <c:idx val="1"/>
          <c:order val="1"/>
          <c:tx>
            <c:strRef>
              <c:f>'Fuente total'!$U$81</c:f>
              <c:strCache>
                <c:ptCount val="1"/>
                <c:pt idx="0">
                  <c:v>ene-23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'Fuente total'!$S$82:$S$83</c:f>
              <c:strCache>
                <c:ptCount val="2"/>
                <c:pt idx="0">
                  <c:v>Distrito</c:v>
                </c:pt>
                <c:pt idx="1">
                  <c:v>Gobernacion</c:v>
                </c:pt>
              </c:strCache>
            </c:strRef>
          </c:cat>
          <c:val>
            <c:numRef>
              <c:f>'Fuente total'!$U$82:$U$83</c:f>
              <c:numCache>
                <c:formatCode>General</c:formatCode>
                <c:ptCount val="2"/>
                <c:pt idx="0">
                  <c:v>5507</c:v>
                </c:pt>
                <c:pt idx="1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8-47A3-BFBD-44C7E76D8445}"/>
            </c:ext>
          </c:extLst>
        </c:ser>
        <c:ser>
          <c:idx val="2"/>
          <c:order val="2"/>
          <c:tx>
            <c:strRef>
              <c:f>'Fuente total'!$V$81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'Fuente total'!$S$82:$S$83</c:f>
              <c:strCache>
                <c:ptCount val="2"/>
                <c:pt idx="0">
                  <c:v>Distrito</c:v>
                </c:pt>
                <c:pt idx="1">
                  <c:v>Gobernacion</c:v>
                </c:pt>
              </c:strCache>
            </c:strRef>
          </c:cat>
          <c:val>
            <c:numRef>
              <c:f>'Fuente total'!$V$82:$V$83</c:f>
              <c:numCache>
                <c:formatCode>General</c:formatCode>
                <c:ptCount val="2"/>
                <c:pt idx="0">
                  <c:v>5507</c:v>
                </c:pt>
                <c:pt idx="1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8-47A3-BFBD-44C7E76D8445}"/>
            </c:ext>
          </c:extLst>
        </c:ser>
        <c:ser>
          <c:idx val="3"/>
          <c:order val="3"/>
          <c:tx>
            <c:strRef>
              <c:f>'Fuente total'!$W$81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'Fuente total'!$S$82:$S$83</c:f>
              <c:strCache>
                <c:ptCount val="2"/>
                <c:pt idx="0">
                  <c:v>Distrito</c:v>
                </c:pt>
                <c:pt idx="1">
                  <c:v>Gobernacion</c:v>
                </c:pt>
              </c:strCache>
            </c:strRef>
          </c:cat>
          <c:val>
            <c:numRef>
              <c:f>'Fuente total'!$W$82:$W$83</c:f>
              <c:numCache>
                <c:formatCode>General</c:formatCode>
                <c:ptCount val="2"/>
                <c:pt idx="0">
                  <c:v>5507</c:v>
                </c:pt>
                <c:pt idx="1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08-47A3-BFBD-44C7E76D8445}"/>
            </c:ext>
          </c:extLst>
        </c:ser>
        <c:ser>
          <c:idx val="4"/>
          <c:order val="4"/>
          <c:tx>
            <c:strRef>
              <c:f>'Fuente total'!$X$81</c:f>
              <c:strCache>
                <c:ptCount val="1"/>
                <c:pt idx="0">
                  <c:v>abr-23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'Fuente total'!$S$82:$S$83</c:f>
              <c:strCache>
                <c:ptCount val="2"/>
                <c:pt idx="0">
                  <c:v>Distrito</c:v>
                </c:pt>
                <c:pt idx="1">
                  <c:v>Gobernacion</c:v>
                </c:pt>
              </c:strCache>
            </c:strRef>
          </c:cat>
          <c:val>
            <c:numRef>
              <c:f>'Fuente total'!$X$82:$X$83</c:f>
              <c:numCache>
                <c:formatCode>General</c:formatCode>
                <c:ptCount val="2"/>
                <c:pt idx="0">
                  <c:v>5507</c:v>
                </c:pt>
                <c:pt idx="1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08-47A3-BFBD-44C7E76D8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559136"/>
        <c:axId val="438557168"/>
      </c:barChart>
      <c:catAx>
        <c:axId val="43855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557168"/>
        <c:crosses val="autoZero"/>
        <c:auto val="1"/>
        <c:lblAlgn val="ctr"/>
        <c:lblOffset val="100"/>
        <c:noMultiLvlLbl val="0"/>
      </c:catAx>
      <c:valAx>
        <c:axId val="43855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855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Unidades 200 gramos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'Fuente total'!$T$118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'Fuente total'!$S$119:$S$122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total'!$T$119:$T$122</c:f>
              <c:numCache>
                <c:formatCode>#,##0</c:formatCode>
                <c:ptCount val="4"/>
                <c:pt idx="0">
                  <c:v>654</c:v>
                </c:pt>
                <c:pt idx="1">
                  <c:v>5291</c:v>
                </c:pt>
                <c:pt idx="2">
                  <c:v>923</c:v>
                </c:pt>
                <c:pt idx="3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B-41A0-9A5C-E949D0E4938B}"/>
            </c:ext>
          </c:extLst>
        </c:ser>
        <c:ser>
          <c:idx val="1"/>
          <c:order val="1"/>
          <c:tx>
            <c:strRef>
              <c:f>'Fuente total'!$U$118</c:f>
              <c:strCache>
                <c:ptCount val="1"/>
                <c:pt idx="0">
                  <c:v>ene-23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'Fuente total'!$S$119:$S$122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total'!$U$119:$U$122</c:f>
              <c:numCache>
                <c:formatCode>#,##0</c:formatCode>
                <c:ptCount val="4"/>
                <c:pt idx="0">
                  <c:v>740.32799999999997</c:v>
                </c:pt>
                <c:pt idx="1">
                  <c:v>5989.4119999999994</c:v>
                </c:pt>
                <c:pt idx="2">
                  <c:v>1044.836</c:v>
                </c:pt>
                <c:pt idx="3">
                  <c:v>1179.5439999999999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B-41A0-9A5C-E949D0E4938B}"/>
            </c:ext>
          </c:extLst>
        </c:ser>
        <c:ser>
          <c:idx val="2"/>
          <c:order val="2"/>
          <c:tx>
            <c:strRef>
              <c:f>'Fuente total'!$V$118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'Fuente total'!$S$119:$S$122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total'!$V$119:$V$122</c:f>
              <c:numCache>
                <c:formatCode>#,##0</c:formatCode>
                <c:ptCount val="4"/>
                <c:pt idx="0">
                  <c:v>823.24473599999999</c:v>
                </c:pt>
                <c:pt idx="1">
                  <c:v>6660.2261440000002</c:v>
                </c:pt>
                <c:pt idx="2">
                  <c:v>1161.8576320000002</c:v>
                </c:pt>
                <c:pt idx="3">
                  <c:v>1311.652928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B-41A0-9A5C-E949D0E4938B}"/>
            </c:ext>
          </c:extLst>
        </c:ser>
        <c:ser>
          <c:idx val="3"/>
          <c:order val="3"/>
          <c:tx>
            <c:strRef>
              <c:f>'Fuente total'!$W$118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'Fuente total'!$S$119:$S$122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total'!$W$119:$W$122</c:f>
              <c:numCache>
                <c:formatCode>#,##0</c:formatCode>
                <c:ptCount val="4"/>
                <c:pt idx="0">
                  <c:v>959.08011743999998</c:v>
                </c:pt>
                <c:pt idx="1">
                  <c:v>7759.1634577600007</c:v>
                </c:pt>
                <c:pt idx="2">
                  <c:v>1353.5641412800003</c:v>
                </c:pt>
                <c:pt idx="3">
                  <c:v>1528.0756611199999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7B-41A0-9A5C-E949D0E4938B}"/>
            </c:ext>
          </c:extLst>
        </c:ser>
        <c:ser>
          <c:idx val="4"/>
          <c:order val="4"/>
          <c:tx>
            <c:strRef>
              <c:f>'Fuente total'!$X$118</c:f>
              <c:strCache>
                <c:ptCount val="1"/>
                <c:pt idx="0">
                  <c:v>abr-23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'Fuente total'!$S$119:$S$122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total'!$X$119:$X$122</c:f>
              <c:numCache>
                <c:formatCode>#,##0</c:formatCode>
                <c:ptCount val="4"/>
                <c:pt idx="0">
                  <c:v>989.77068119807996</c:v>
                </c:pt>
                <c:pt idx="1">
                  <c:v>8007.4566884083206</c:v>
                </c:pt>
                <c:pt idx="2">
                  <c:v>1396.8781938009604</c:v>
                </c:pt>
                <c:pt idx="3">
                  <c:v>1576.9740822758399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B-41A0-9A5C-E949D0E4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1315664"/>
        <c:axId val="1621298608"/>
      </c:barChart>
      <c:catAx>
        <c:axId val="162131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1298608"/>
        <c:crosses val="autoZero"/>
        <c:auto val="1"/>
        <c:lblAlgn val="ctr"/>
        <c:lblOffset val="100"/>
        <c:noMultiLvlLbl val="0"/>
      </c:catAx>
      <c:valAx>
        <c:axId val="162129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13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i="0" u="none" strike="noStrike" baseline="0">
                <a:effectLst/>
              </a:rPr>
              <a:t>Unidades 500 gramos</a:t>
            </a:r>
            <a:r>
              <a:rPr lang="es-CO" sz="1400" b="0" i="0" u="none" strike="noStrike" baseline="0"/>
              <a:t>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'Fuente total'!$T$141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'Fuente total'!$S$142:$S$145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total'!$T$142:$T$145</c:f>
              <c:numCache>
                <c:formatCode>#,##0</c:formatCode>
                <c:ptCount val="4"/>
                <c:pt idx="0">
                  <c:v>245</c:v>
                </c:pt>
                <c:pt idx="1">
                  <c:v>874</c:v>
                </c:pt>
                <c:pt idx="2">
                  <c:v>304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1-43AF-92CF-64E7932011BC}"/>
            </c:ext>
          </c:extLst>
        </c:ser>
        <c:ser>
          <c:idx val="1"/>
          <c:order val="1"/>
          <c:tx>
            <c:strRef>
              <c:f>'Fuente total'!$U$141</c:f>
              <c:strCache>
                <c:ptCount val="1"/>
                <c:pt idx="0">
                  <c:v>ene-23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'Fuente total'!$S$142:$S$145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total'!$U$142:$U$145</c:f>
              <c:numCache>
                <c:formatCode>#,##0</c:formatCode>
                <c:ptCount val="4"/>
                <c:pt idx="0">
                  <c:v>269.01000000000005</c:v>
                </c:pt>
                <c:pt idx="1">
                  <c:v>959.65200000000004</c:v>
                </c:pt>
                <c:pt idx="2">
                  <c:v>333.79200000000003</c:v>
                </c:pt>
                <c:pt idx="3">
                  <c:v>75.762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1-43AF-92CF-64E7932011BC}"/>
            </c:ext>
          </c:extLst>
        </c:ser>
        <c:ser>
          <c:idx val="2"/>
          <c:order val="2"/>
          <c:tx>
            <c:strRef>
              <c:f>'Fuente total'!$V$141</c:f>
              <c:strCache>
                <c:ptCount val="1"/>
                <c:pt idx="0">
                  <c:v>feb-23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'Fuente total'!$S$142:$S$145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total'!$V$142:$V$145</c:f>
              <c:numCache>
                <c:formatCode>#,##0</c:formatCode>
                <c:ptCount val="4"/>
                <c:pt idx="0">
                  <c:v>263.62980000000005</c:v>
                </c:pt>
                <c:pt idx="1">
                  <c:v>940.45896000000005</c:v>
                </c:pt>
                <c:pt idx="2">
                  <c:v>327.11616000000004</c:v>
                </c:pt>
                <c:pt idx="3">
                  <c:v>74.246759999999995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1-43AF-92CF-64E7932011BC}"/>
            </c:ext>
          </c:extLst>
        </c:ser>
        <c:ser>
          <c:idx val="3"/>
          <c:order val="3"/>
          <c:tx>
            <c:strRef>
              <c:f>'Fuente total'!$W$141</c:f>
              <c:strCache>
                <c:ptCount val="1"/>
                <c:pt idx="0">
                  <c:v>mar-23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'Fuente total'!$S$142:$S$145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total'!$W$142:$W$145</c:f>
              <c:numCache>
                <c:formatCode>#,##0</c:formatCode>
                <c:ptCount val="4"/>
                <c:pt idx="0">
                  <c:v>298.95619320000003</c:v>
                </c:pt>
                <c:pt idx="1">
                  <c:v>1066.48046064</c:v>
                </c:pt>
                <c:pt idx="2">
                  <c:v>370.94972544000001</c:v>
                </c:pt>
                <c:pt idx="3">
                  <c:v>84.195825839999983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41-43AF-92CF-64E7932011BC}"/>
            </c:ext>
          </c:extLst>
        </c:ser>
        <c:ser>
          <c:idx val="4"/>
          <c:order val="4"/>
          <c:tx>
            <c:strRef>
              <c:f>'Fuente total'!$X$141</c:f>
              <c:strCache>
                <c:ptCount val="1"/>
                <c:pt idx="0">
                  <c:v>abr-23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'Fuente total'!$S$142:$S$145</c:f>
              <c:strCache>
                <c:ptCount val="4"/>
                <c:pt idx="0">
                  <c:v>Adamo (1116269)</c:v>
                </c:pt>
                <c:pt idx="1">
                  <c:v>Distrifuver (1116234)</c:v>
                </c:pt>
                <c:pt idx="2">
                  <c:v>Inversiones Loperena (N/A 45)</c:v>
                </c:pt>
                <c:pt idx="3">
                  <c:v>Fatca S.L. (1113456)</c:v>
                </c:pt>
              </c:strCache>
            </c:strRef>
          </c:cat>
          <c:val>
            <c:numRef>
              <c:f>'Fuente total'!$X$142:$X$145</c:f>
              <c:numCache>
                <c:formatCode>#,##0</c:formatCode>
                <c:ptCount val="4"/>
                <c:pt idx="0">
                  <c:v>338.41841070240002</c:v>
                </c:pt>
                <c:pt idx="1">
                  <c:v>1207.2558814444799</c:v>
                </c:pt>
                <c:pt idx="2">
                  <c:v>419.91508919807995</c:v>
                </c:pt>
                <c:pt idx="3">
                  <c:v>95.309674850879972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1-43AF-92CF-64E793201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0427840"/>
        <c:axId val="1860417856"/>
      </c:barChart>
      <c:catAx>
        <c:axId val="186042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0417856"/>
        <c:crosses val="autoZero"/>
        <c:auto val="1"/>
        <c:lblAlgn val="ctr"/>
        <c:lblOffset val="100"/>
        <c:noMultiLvlLbl val="0"/>
      </c:catAx>
      <c:valAx>
        <c:axId val="186041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042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26420</xdr:rowOff>
    </xdr:from>
    <xdr:to>
      <xdr:col>2</xdr:col>
      <xdr:colOff>1184143</xdr:colOff>
      <xdr:row>27</xdr:row>
      <xdr:rowOff>178777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DA608D7-B0E7-4186-8C9F-476F73D6B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354694</xdr:colOff>
      <xdr:row>24</xdr:row>
      <xdr:rowOff>195829</xdr:rowOff>
    </xdr:from>
    <xdr:to>
      <xdr:col>14</xdr:col>
      <xdr:colOff>537373</xdr:colOff>
      <xdr:row>31</xdr:row>
      <xdr:rowOff>277245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Indicador">
              <a:extLst>
                <a:ext uri="{FF2B5EF4-FFF2-40B4-BE49-F238E27FC236}">
                  <a16:creationId xmlns:a16="http://schemas.microsoft.com/office/drawing/2014/main" id="{1751AF71-8234-4173-B759-783F5219BF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dicad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676337" y="5557043"/>
              <a:ext cx="2700000" cy="14421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225875</xdr:colOff>
      <xdr:row>11</xdr:row>
      <xdr:rowOff>250371</xdr:rowOff>
    </xdr:from>
    <xdr:to>
      <xdr:col>5</xdr:col>
      <xdr:colOff>813362</xdr:colOff>
      <xdr:row>18</xdr:row>
      <xdr:rowOff>107497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ite">
              <a:extLst>
                <a:ext uri="{FF2B5EF4-FFF2-40B4-BE49-F238E27FC236}">
                  <a16:creationId xmlns:a16="http://schemas.microsoft.com/office/drawing/2014/main" id="{7DFC74A2-6483-4324-9384-EEC2DE01AF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i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48839" y="2618014"/>
              <a:ext cx="3349737" cy="14627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3</xdr:col>
      <xdr:colOff>13607</xdr:colOff>
      <xdr:row>0</xdr:row>
      <xdr:rowOff>67919</xdr:rowOff>
    </xdr:from>
    <xdr:to>
      <xdr:col>5</xdr:col>
      <xdr:colOff>1211357</xdr:colOff>
      <xdr:row>11</xdr:row>
      <xdr:rowOff>220276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965CB55-29FD-4317-A150-BD282BC40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289831</xdr:colOff>
      <xdr:row>4</xdr:row>
      <xdr:rowOff>38100</xdr:rowOff>
    </xdr:from>
    <xdr:to>
      <xdr:col>15</xdr:col>
      <xdr:colOff>639536</xdr:colOff>
      <xdr:row>10</xdr:row>
      <xdr:rowOff>68035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Indicador 3">
              <a:extLst>
                <a:ext uri="{FF2B5EF4-FFF2-40B4-BE49-F238E27FC236}">
                  <a16:creationId xmlns:a16="http://schemas.microsoft.com/office/drawing/2014/main" id="{263C2698-9B63-4A26-A545-AECE1EFD253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dicador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611474" y="1072243"/>
              <a:ext cx="3629026" cy="11729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308084</xdr:colOff>
      <xdr:row>14</xdr:row>
      <xdr:rowOff>120308</xdr:rowOff>
    </xdr:from>
    <xdr:to>
      <xdr:col>14</xdr:col>
      <xdr:colOff>675866</xdr:colOff>
      <xdr:row>20</xdr:row>
      <xdr:rowOff>136070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Indicador 4">
              <a:extLst>
                <a:ext uri="{FF2B5EF4-FFF2-40B4-BE49-F238E27FC236}">
                  <a16:creationId xmlns:a16="http://schemas.microsoft.com/office/drawing/2014/main" id="{9D63B79E-99BE-459C-BC4D-13732AD9B4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dicador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629727" y="3304379"/>
              <a:ext cx="2885103" cy="11859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3</xdr:row>
      <xdr:rowOff>269533</xdr:rowOff>
    </xdr:from>
    <xdr:to>
      <xdr:col>2</xdr:col>
      <xdr:colOff>1184143</xdr:colOff>
      <xdr:row>15</xdr:row>
      <xdr:rowOff>138408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C4D451C-0235-48BB-ADF2-2EBA8246A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161244</xdr:colOff>
      <xdr:row>37</xdr:row>
      <xdr:rowOff>43881</xdr:rowOff>
    </xdr:from>
    <xdr:to>
      <xdr:col>7</xdr:col>
      <xdr:colOff>493601</xdr:colOff>
      <xdr:row>41</xdr:row>
      <xdr:rowOff>181881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0" name="Indicador 1">
              <a:extLst>
                <a:ext uri="{FF2B5EF4-FFF2-40B4-BE49-F238E27FC236}">
                  <a16:creationId xmlns:a16="http://schemas.microsoft.com/office/drawing/2014/main" id="{DD7726F1-5706-45F1-A124-FB02954D23B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dicado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02423" y="8194560"/>
              <a:ext cx="2700000" cy="90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3</xdr:col>
      <xdr:colOff>33673</xdr:colOff>
      <xdr:row>18</xdr:row>
      <xdr:rowOff>145596</xdr:rowOff>
    </xdr:from>
    <xdr:to>
      <xdr:col>5</xdr:col>
      <xdr:colOff>1231423</xdr:colOff>
      <xdr:row>30</xdr:row>
      <xdr:rowOff>109721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F4055462-63F9-4750-863B-EC49F745E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357187</xdr:colOff>
      <xdr:row>21</xdr:row>
      <xdr:rowOff>84364</xdr:rowOff>
    </xdr:from>
    <xdr:to>
      <xdr:col>14</xdr:col>
      <xdr:colOff>539866</xdr:colOff>
      <xdr:row>24</xdr:row>
      <xdr:rowOff>169636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6" name="Tipo ">
              <a:extLst>
                <a:ext uri="{FF2B5EF4-FFF2-40B4-BE49-F238E27FC236}">
                  <a16:creationId xmlns:a16="http://schemas.microsoft.com/office/drawing/2014/main" id="{C4A67842-3646-4838-A412-261B106C02C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678830" y="4629150"/>
              <a:ext cx="2700000" cy="901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292212</xdr:colOff>
      <xdr:row>0</xdr:row>
      <xdr:rowOff>145256</xdr:rowOff>
    </xdr:from>
    <xdr:to>
      <xdr:col>14</xdr:col>
      <xdr:colOff>474891</xdr:colOff>
      <xdr:row>4</xdr:row>
      <xdr:rowOff>11113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7" name="Tipo  1">
              <a:extLst>
                <a:ext uri="{FF2B5EF4-FFF2-40B4-BE49-F238E27FC236}">
                  <a16:creationId xmlns:a16="http://schemas.microsoft.com/office/drawing/2014/main" id="{C625D2BF-3C95-4D55-97D2-65BACD1246D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613855" y="145256"/>
              <a:ext cx="2700000" cy="90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346980</xdr:colOff>
      <xdr:row>11</xdr:row>
      <xdr:rowOff>29596</xdr:rowOff>
    </xdr:from>
    <xdr:to>
      <xdr:col>14</xdr:col>
      <xdr:colOff>529659</xdr:colOff>
      <xdr:row>14</xdr:row>
      <xdr:rowOff>114867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8" name="Tipo  2">
              <a:extLst>
                <a:ext uri="{FF2B5EF4-FFF2-40B4-BE49-F238E27FC236}">
                  <a16:creationId xmlns:a16="http://schemas.microsoft.com/office/drawing/2014/main" id="{4B791BD1-648D-4F56-B8ED-DC578416F27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668623" y="2397239"/>
              <a:ext cx="2700000" cy="9016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241527</xdr:colOff>
      <xdr:row>37</xdr:row>
      <xdr:rowOff>28577</xdr:rowOff>
    </xdr:from>
    <xdr:to>
      <xdr:col>6</xdr:col>
      <xdr:colOff>186080</xdr:colOff>
      <xdr:row>41</xdr:row>
      <xdr:rowOff>186988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9" name="Tipo  3">
              <a:extLst>
                <a:ext uri="{FF2B5EF4-FFF2-40B4-BE49-F238E27FC236}">
                  <a16:creationId xmlns:a16="http://schemas.microsoft.com/office/drawing/2014/main" id="{3C62F083-D1D1-4654-A7BE-59024EBE0E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79634" y="8179256"/>
              <a:ext cx="2693196" cy="9204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0.21599</cdr:x>
      <cdr:y>0.01513</cdr:y>
    </cdr:from>
    <cdr:to>
      <cdr:x>0.71251</cdr:x>
      <cdr:y>0.17325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6B0724CA-D15E-4A83-8FC3-A58D3CD95095}"/>
            </a:ext>
          </a:extLst>
        </cdr:cNvPr>
        <cdr:cNvSpPr txBox="1"/>
      </cdr:nvSpPr>
      <cdr:spPr>
        <a:xfrm xmlns:a="http://schemas.openxmlformats.org/drawingml/2006/main">
          <a:off x="828675" y="34925"/>
          <a:ext cx="19050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000" b="1">
              <a:latin typeface="Abadi" panose="020B0604020202020204" pitchFamily="34" charset="0"/>
            </a:rPr>
            <a:t>Calidad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0.21798</cdr:x>
      <cdr:y>0.01372</cdr:y>
    </cdr:from>
    <cdr:to>
      <cdr:x>0.7145</cdr:x>
      <cdr:y>0.17154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A4F02CE0-44D7-4D48-A1C7-D868325321A1}"/>
            </a:ext>
          </a:extLst>
        </cdr:cNvPr>
        <cdr:cNvSpPr txBox="1"/>
      </cdr:nvSpPr>
      <cdr:spPr>
        <a:xfrm xmlns:a="http://schemas.openxmlformats.org/drawingml/2006/main">
          <a:off x="836321" y="31750"/>
          <a:ext cx="19050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000" b="1">
              <a:latin typeface="Abadi" panose="020B0604020202020204" pitchFamily="34" charset="0"/>
            </a:rPr>
            <a:t>Financiero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0.23434</cdr:x>
      <cdr:y>0.03527</cdr:y>
    </cdr:from>
    <cdr:to>
      <cdr:x>0.7347</cdr:x>
      <cdr:y>0.19125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7F64F547-F48B-47B3-B4B4-8C58AFD80425}"/>
            </a:ext>
          </a:extLst>
        </cdr:cNvPr>
        <cdr:cNvSpPr txBox="1"/>
      </cdr:nvSpPr>
      <cdr:spPr>
        <a:xfrm xmlns:a="http://schemas.openxmlformats.org/drawingml/2006/main">
          <a:off x="892175" y="82550"/>
          <a:ext cx="19050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000" b="1">
              <a:latin typeface="Abadi" panose="020B0604020202020204" pitchFamily="34" charset="0"/>
            </a:rPr>
            <a:t>Productividad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0.18713</cdr:x>
      <cdr:y>0.01059</cdr:y>
    </cdr:from>
    <cdr:to>
      <cdr:x>0.70001</cdr:x>
      <cdr:y>0.14096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4ABEE892-45B1-46A2-B65C-69416DDD674B}"/>
            </a:ext>
          </a:extLst>
        </cdr:cNvPr>
        <cdr:cNvSpPr txBox="1"/>
      </cdr:nvSpPr>
      <cdr:spPr>
        <a:xfrm xmlns:a="http://schemas.openxmlformats.org/drawingml/2006/main">
          <a:off x="712452" y="24494"/>
          <a:ext cx="1952625" cy="301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0.23017</cdr:x>
      <cdr:y>0.02196</cdr:y>
    </cdr:from>
    <cdr:to>
      <cdr:x>0.73053</cdr:x>
      <cdr:y>0.17977</cdr:y>
    </cdr:to>
    <cdr:sp macro="" textlink="">
      <cdr:nvSpPr>
        <cdr:cNvPr id="5" name="CuadroTexto 1">
          <a:extLst xmlns:a="http://schemas.openxmlformats.org/drawingml/2006/main">
            <a:ext uri="{FF2B5EF4-FFF2-40B4-BE49-F238E27FC236}">
              <a16:creationId xmlns:a16="http://schemas.microsoft.com/office/drawing/2014/main" id="{251095BA-8A83-4A73-B190-7CC1246F2927}"/>
            </a:ext>
          </a:extLst>
        </cdr:cNvPr>
        <cdr:cNvSpPr txBox="1"/>
      </cdr:nvSpPr>
      <cdr:spPr>
        <a:xfrm xmlns:a="http://schemas.openxmlformats.org/drawingml/2006/main">
          <a:off x="876300" y="50800"/>
          <a:ext cx="1905000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000" b="1">
              <a:latin typeface="Abadi" panose="020B0604020202020204" pitchFamily="34" charset="0"/>
            </a:rPr>
            <a:t>Tiempo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2286000</xdr:colOff>
      <xdr:row>90</xdr:row>
      <xdr:rowOff>4762</xdr:rowOff>
    </xdr:from>
    <xdr:to>
      <xdr:col>22</xdr:col>
      <xdr:colOff>781050</xdr:colOff>
      <xdr:row>104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E655BC-938E-4F23-83DE-1674BD342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1800225</xdr:colOff>
      <xdr:row>123</xdr:row>
      <xdr:rowOff>100012</xdr:rowOff>
    </xdr:from>
    <xdr:to>
      <xdr:col>22</xdr:col>
      <xdr:colOff>295275</xdr:colOff>
      <xdr:row>137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639859-B6FB-423E-87F4-8F23AC8954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1666875</xdr:colOff>
      <xdr:row>146</xdr:row>
      <xdr:rowOff>138112</xdr:rowOff>
    </xdr:from>
    <xdr:to>
      <xdr:col>22</xdr:col>
      <xdr:colOff>161925</xdr:colOff>
      <xdr:row>161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D289AC5-E12B-499E-A9A1-B60174241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" refreshedDate="44147.698202430554" createdVersion="6" refreshedVersion="6" minRefreshableVersion="3" recordCount="255" xr:uid="{4021F135-D30A-4C15-A382-A42229415F2D}">
  <cacheSource type="worksheet">
    <worksheetSource ref="C2:C257" sheet="Fuente dinamicas"/>
  </cacheSource>
  <cacheFields count="1">
    <cacheField name="Costo de capital" numFmtId="0">
      <sharedItems count="32">
        <s v="Costo de capital"/>
        <s v="Costo logística vs utilidad"/>
        <s v="Costo operativo de bodega"/>
        <s v="Costo del inventario"/>
        <s v="Volumen de compras"/>
        <s v="Costo de almacén por unidad"/>
        <s v="Costo por unidad de despacho"/>
        <s v="Costos logísticos vs ventas"/>
        <s v="Costo por metro cuadrado"/>
        <s v="Costo de transporte tercerizado"/>
        <s v="Ciclo total de un pedido (TMR)"/>
        <s v="Ciclo de orden de compra (internacional)"/>
        <s v="Ciclo de orden de compra (Nacional)"/>
        <s v="TMR out"/>
        <s v="Pedidos entregados correctamente"/>
        <s v="Satisfacción cliente directo"/>
        <s v="Satisfacción cliente final"/>
        <s v="Pedidos con averías o incidencias"/>
        <s v="Pedidos con retrasos de transporte out"/>
        <s v="Entregas perfectas"/>
        <s v="Vejez del inventario"/>
        <s v="Índice cumplimiento transporte outsourcing por solicitudes realizadas"/>
        <s v="Entregas a tiempo"/>
        <s v="Certificación de proveedores"/>
        <s v="Numero de pedidos despachados"/>
        <s v="Promedio de despachos por día"/>
        <s v="Numero de ordenes por año"/>
        <s v="Rotación Productos nacionales"/>
        <s v="Rotación Productos internacionales"/>
        <s v="Utilización de bodega (área utilizada/área disponible)"/>
        <s v="Unidades despachadas por empleado"/>
        <s v="Promedio de ordenes por dí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" refreshedDate="44147.843927893518" createdVersion="6" refreshedVersion="6" minRefreshableVersion="3" recordCount="8" xr:uid="{97937E2F-238D-40D6-879B-3C830454F68E}">
  <cacheSource type="worksheet">
    <worksheetSource ref="Q69:Y77" sheet="Fuente total"/>
  </cacheSource>
  <cacheFields count="9">
    <cacheField name="Macro TXT" numFmtId="0">
      <sharedItems count="1">
        <s v="Pedidos/venta"/>
      </sharedItems>
    </cacheField>
    <cacheField name="Cierre" numFmtId="0">
      <sharedItems count="1">
        <s v="Octubre"/>
      </sharedItems>
    </cacheField>
    <cacheField name="Legajo cliente" numFmtId="0">
      <sharedItems count="8">
        <s v="Adamo (1116269)"/>
        <s v="Cencosud (1116234)"/>
        <s v="RCP (N/A 45)"/>
        <s v="Grupo E (1113456)"/>
        <s v="Adamo TDE (pasarela)"/>
        <s v="Mercada S.A. (pasarela)"/>
        <s v="Distrito"/>
        <s v="Gobernacion"/>
      </sharedItems>
    </cacheField>
    <cacheField name="Unidades 200 gramos" numFmtId="0">
      <sharedItems containsSemiMixedTypes="0" containsString="0" containsNumber="1" containsInteger="1" minValue="0" maxValue="629128"/>
    </cacheField>
    <cacheField name="Unidades 500 gramos" numFmtId="0">
      <sharedItems containsSemiMixedTypes="0" containsString="0" containsNumber="1" containsInteger="1" minValue="0" maxValue="377476"/>
    </cacheField>
    <cacheField name="Granel" numFmtId="0">
      <sharedItems containsSemiMixedTypes="0" containsString="0" containsNumber="1" containsInteger="1" minValue="0" maxValue="235000"/>
    </cacheField>
    <cacheField name="Capacidad" numFmtId="0">
      <sharedItems containsMixedTypes="1" containsNumber="1" containsInteger="1" minValue="1" maxValue="1"/>
    </cacheField>
    <cacheField name="Proyeccion suavizada" numFmtId="0">
      <sharedItems containsSemiMixedTypes="0" containsString="0" containsNumber="1" containsInteger="1" minValue="35000" maxValue="314563600"/>
    </cacheField>
    <cacheField name="Proyeccion Estimada Ganel" numFmtId="0">
      <sharedItems containsMixedTypes="1" containsNumber="1" containsInteger="1" minValue="35000" maxValue="31456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" refreshedDate="44150.401516435188" createdVersion="6" refreshedVersion="6" minRefreshableVersion="3" recordCount="8" xr:uid="{DD8384D9-7F8A-4844-9BE8-64BC53596F76}">
  <cacheSource type="worksheet">
    <worksheetSource ref="Q47:X55" sheet="Fuente total"/>
  </cacheSource>
  <cacheFields count="8">
    <cacheField name="Dato macro 1.1" numFmtId="0">
      <sharedItems count="1">
        <s v="FC Cumplimiento "/>
      </sharedItems>
    </cacheField>
    <cacheField name="Cliente superficie" numFmtId="0">
      <sharedItems count="8">
        <s v="Adamo"/>
        <s v="Cencosud"/>
        <s v="RCP"/>
        <s v="Grupo E"/>
        <s v="Adamo TDE"/>
        <s v="Mercada S.A."/>
        <s v="Distrito"/>
        <s v="Gobernacion"/>
      </sharedItems>
    </cacheField>
    <cacheField name="02/11/2020" numFmtId="9">
      <sharedItems containsSemiMixedTypes="0" containsString="0" containsNumber="1" minValue="0.9163" maxValue="1"/>
    </cacheField>
    <cacheField name="Semana de 12/10/2020 -  18/10/2020" numFmtId="9">
      <sharedItems containsSemiMixedTypes="0" containsString="0" containsNumber="1" minValue="0.92349999999999999" maxValue="1"/>
    </cacheField>
    <cacheField name="Semana de 19/10/2020 -  25/10/2021" numFmtId="9">
      <sharedItems containsSemiMixedTypes="0" containsString="0" containsNumber="1" minValue="0.91180000000000005" maxValue="1"/>
    </cacheField>
    <cacheField name="Semana de 26/10/2020 -  01/11/2022" numFmtId="9">
      <sharedItems containsSemiMixedTypes="0" containsString="0" containsNumber="1" minValue="0.91759999999999997" maxValue="1"/>
    </cacheField>
    <cacheField name="Semana de 02/11/2020 -  08/11/2023" numFmtId="9">
      <sharedItems containsSemiMixedTypes="0" containsString="0" containsNumber="1" minValue="0.9335" maxValue="1"/>
    </cacheField>
    <cacheField name="07/11/2020" numFmtId="9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" refreshedDate="44150.406821875004" createdVersion="6" refreshedVersion="6" minRefreshableVersion="3" recordCount="8" xr:uid="{41A66998-C36F-40CA-AB5A-513A6CDB63E6}">
  <cacheSource type="worksheet">
    <worksheetSource ref="Q58:W66" sheet="Fuente total"/>
  </cacheSource>
  <cacheFields count="7">
    <cacheField name="Dato macro 1.1" numFmtId="0">
      <sharedItems count="1">
        <s v="Entrega perfecta"/>
      </sharedItems>
    </cacheField>
    <cacheField name="Cliente superficie" numFmtId="0">
      <sharedItems count="8">
        <s v="Adamo"/>
        <s v="Cencosud"/>
        <s v="RCP"/>
        <s v="Grupo E"/>
        <s v="Adamo TDE"/>
        <s v="Mercada S.A."/>
        <s v="Distrito"/>
        <s v="Gobernacion"/>
      </sharedItems>
    </cacheField>
    <cacheField name="Semana de 12/10/2020 -  18/10/2020" numFmtId="10">
      <sharedItems containsSemiMixedTypes="0" containsString="0" containsNumber="1" minValue="0.91010000000000002" maxValue="0.98019999999999996"/>
    </cacheField>
    <cacheField name="Semana de 19/10/2020 -  25/10/2021" numFmtId="10">
      <sharedItems containsSemiMixedTypes="0" containsString="0" containsNumber="1" minValue="0.874" maxValue="0.98099999999999998"/>
    </cacheField>
    <cacheField name="Semana de 26/10/2020 -  01/11/2022" numFmtId="10">
      <sharedItems containsSemiMixedTypes="0" containsString="0" containsNumber="1" minValue="0.89700000000000002" maxValue="0.98119999999999996"/>
    </cacheField>
    <cacheField name="Semana de 02/11/2020 -  08/11/2023" numFmtId="10">
      <sharedItems containsSemiMixedTypes="0" containsString="0" containsNumber="1" minValue="0.90859999999999996" maxValue="0.98080000000000001"/>
    </cacheField>
    <cacheField name="06/11/2020" numFmtId="10">
      <sharedItems containsSemiMixedTypes="0" containsString="0" containsNumber="1" minValue="0.94979999999999998" maxValue="0.980539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 Bonillas    Giraldo" refreshedDate="44396.862529166669" createdVersion="6" refreshedVersion="7" minRefreshableVersion="3" recordCount="256" xr:uid="{9DF646D1-3A57-422F-BF6E-27933FD2555A}">
  <cacheSource type="worksheet">
    <worksheetSource ref="A1:K257" sheet="Fuente dinamicas"/>
  </cacheSource>
  <cacheFields count="11">
    <cacheField name="Tipo " numFmtId="0">
      <sharedItems count="5">
        <s v="Financiero"/>
        <s v="Tiempo"/>
        <s v="Calidad"/>
        <s v="Productividad"/>
        <s v="Financiero y operativo" u="1"/>
      </sharedItems>
    </cacheField>
    <cacheField name="Site" numFmtId="0">
      <sharedItems count="16">
        <s v="Plataforma Bucaramanga"/>
        <s v="Plataforma Cali"/>
        <s v="Masivo Bogota"/>
        <s v="Red Aguachica"/>
        <s v="Red Medellin"/>
        <s v="Plataforma Bogotá"/>
        <s v="Base Cota"/>
        <s v="Icp Bogotá"/>
        <s v="Icp Bogota" u="1"/>
        <s v="Red Santiago" u="1"/>
        <s v="Jazzplat Lima" u="1"/>
        <s v="Red Lima" u="1"/>
        <s v="Masivo Madrid" u="1"/>
        <s v="Plataforma Bogota" u="1"/>
        <s v="Plataforma Madrid" u="1"/>
        <s v="Plataforma Guadalajara" u="1"/>
      </sharedItems>
    </cacheField>
    <cacheField name="Indicador" numFmtId="0">
      <sharedItems count="49">
        <s v="Costo de capital"/>
        <s v="Costo logística vs utilidad"/>
        <s v="Costo operativo de bodega"/>
        <s v="Costo del inventario"/>
        <s v="Volumen de compras"/>
        <s v="Costo de almacén por unidad"/>
        <s v="Costo por unidad de despacho"/>
        <s v="Costos logísticos vs ventas"/>
        <s v="Costo por metro cuadrado"/>
        <s v="Costo de transporte tercerizado"/>
        <s v="Ciclo total de un pedido (TMR)"/>
        <s v="Ciclo de orden de compra (internacional)"/>
        <s v="Ciclo de orden de compra (Nacional)"/>
        <s v="TMR out"/>
        <s v="Pedidos entregados correctamente"/>
        <s v="Satisfacción cliente directo"/>
        <s v="Satisfacción cliente final"/>
        <s v="Pedidos con averías o incidencias"/>
        <s v="Pedidos con retrasos de transporte out"/>
        <s v="Entregas perfectas"/>
        <s v="Vejez del inventario"/>
        <s v="Índice cumplimiento transporte outsourcing por solicitudes realizadas"/>
        <s v="Entregas a tiempo"/>
        <s v="Certificación de proveedores"/>
        <s v="Numero de pedidos despachados"/>
        <s v="Promedio de despachos por día"/>
        <s v="Numero de ordenes por año"/>
        <s v="Rotación Productos nacionales"/>
        <s v="Rotación Productos internacionales"/>
        <s v="Utilización de bodega (área utilizada/área disponible)"/>
        <s v="Unidades despachadas por empleado"/>
        <s v="Promedio de ordenes por día"/>
        <s v="Satisfaccion cliente directo" u="1"/>
        <s v="Indice cumplimento transporte outsourcing por solicitudes realizadas" u="1"/>
        <s v="Cliclo de orden de compra (Nacional)" u="1"/>
        <s v="Rotacion Productos nacionales" u="1"/>
        <s v="Certificacion de proveedores" u="1"/>
        <s v="Rotacion Productos internacionales" u="1"/>
        <s v="Cliclo de oreden de compra (Nacional)" u="1"/>
        <s v="Pedidos con averias o incidencias" u="1"/>
        <s v="Promedio de despachos por dia" u="1"/>
        <s v="Costo de almacen por unidad" u="1"/>
        <s v="Costo logistica vs utilidad" u="1"/>
        <s v="Promedio de ordenes por dia" u="1"/>
        <s v="Utilizacion de bodega (area utilizada/area disponible)" u="1"/>
        <s v="Cliclo de oreden de compra (internacional)" u="1"/>
        <s v="Costos logisticos vs ventas" u="1"/>
        <s v="Cliclo de orden de compra (internacional)" u="1"/>
        <s v="Satisfaccion cliente final" u="1"/>
      </sharedItems>
    </cacheField>
    <cacheField name="2016" numFmtId="0">
      <sharedItems containsMixedTypes="1" containsNumber="1" minValue="1.679592185698455E-3" maxValue="216198725.78016001"/>
    </cacheField>
    <cacheField name="2017" numFmtId="0">
      <sharedItems containsMixedTypes="1" containsNumber="1" minValue="3.164835233628923E-4" maxValue="237818598.35817602"/>
    </cacheField>
    <cacheField name="2018" numFmtId="0">
      <sharedItems containsMixedTypes="1" containsNumber="1" minValue="7.6190495328167993E-4" maxValue="309164177.86562884"/>
    </cacheField>
    <cacheField name="2019" numFmtId="0">
      <sharedItems containsMixedTypes="1" containsNumber="1" minValue="3.122449483786975E-4" maxValue="278247760.07906598"/>
    </cacheField>
    <cacheField name="Objetivo 100%" numFmtId="0">
      <sharedItems containsBlank="1" containsMixedTypes="1" containsNumber="1" minValue="3.8603180259425148E-3" maxValue="26526982.400000002"/>
    </cacheField>
    <cacheField name="Objetivo 150%" numFmtId="0">
      <sharedItems containsBlank="1" containsMixedTypes="1" containsNumber="1" minValue="4.1352689769876931E-3" maxValue="34399315.100000001"/>
    </cacheField>
    <cacheField name="Pronostico 2020 suavización" numFmtId="0">
      <sharedItems containsMixedTypes="1" containsNumber="1" minValue="3.4133338334649604E-3" maxValue="270931595.19866532"/>
    </cacheField>
    <cacheField name="Pronostico 2020 PP" numFmtId="0">
      <sharedItems containsMixedTypes="1" containsNumber="1" minValue="3.4539687600538289E-3" maxValue="270118687.98973191"/>
    </cacheField>
  </cacheFields>
  <extLst>
    <ext xmlns:x14="http://schemas.microsoft.com/office/spreadsheetml/2009/9/main" uri="{725AE2AE-9491-48be-B2B4-4EB974FC3084}">
      <x14:pivotCacheDefinition pivotCacheId="13145443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5"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1"/>
  </r>
  <r>
    <x v="3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5240"/>
    <n v="3144"/>
    <n v="0"/>
    <s v="N/A"/>
    <n v="16644550"/>
    <s v="N/A"/>
  </r>
  <r>
    <x v="0"/>
    <x v="0"/>
    <x v="1"/>
    <n v="629128"/>
    <n v="377476"/>
    <n v="0"/>
    <n v="1"/>
    <n v="314563600"/>
    <n v="314563600"/>
  </r>
  <r>
    <x v="0"/>
    <x v="0"/>
    <x v="2"/>
    <n v="8230"/>
    <n v="4938"/>
    <n v="0"/>
    <s v="N/A"/>
    <n v="14139550"/>
    <s v="N/A"/>
  </r>
  <r>
    <x v="0"/>
    <x v="0"/>
    <x v="3"/>
    <n v="124208"/>
    <n v="74524"/>
    <n v="0"/>
    <s v="N/A"/>
    <n v="72128150"/>
    <s v="N/A"/>
  </r>
  <r>
    <x v="0"/>
    <x v="0"/>
    <x v="4"/>
    <n v="35200"/>
    <n v="21120"/>
    <n v="0"/>
    <s v="N/A"/>
    <n v="27624550"/>
    <s v="N/A"/>
  </r>
  <r>
    <x v="0"/>
    <x v="0"/>
    <x v="5"/>
    <n v="4630"/>
    <n v="2778"/>
    <n v="0"/>
    <s v="N/A"/>
    <n v="16339550"/>
    <s v="N/A"/>
  </r>
  <r>
    <x v="0"/>
    <x v="0"/>
    <x v="6"/>
    <n v="0"/>
    <n v="0"/>
    <n v="235000"/>
    <n v="1"/>
    <n v="235000"/>
    <n v="235000"/>
  </r>
  <r>
    <x v="0"/>
    <x v="0"/>
    <x v="7"/>
    <n v="0"/>
    <n v="0"/>
    <n v="35000"/>
    <n v="1"/>
    <n v="35000"/>
    <n v="35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0.96"/>
    <n v="0.97130000000000005"/>
    <n v="1"/>
    <n v="0.99580000000000002"/>
    <n v="0.97199999999999998"/>
    <n v="1"/>
  </r>
  <r>
    <x v="0"/>
    <x v="1"/>
    <n v="0.99770000000000003"/>
    <n v="0.99780000000000002"/>
    <n v="0.99839999999999995"/>
    <n v="0.99919999999999998"/>
    <n v="0.998"/>
    <n v="1"/>
  </r>
  <r>
    <x v="0"/>
    <x v="2"/>
    <n v="0.92500000000000004"/>
    <n v="0.98329999999999995"/>
    <n v="0.97"/>
    <n v="0.92500000000000004"/>
    <n v="0.95279999999999998"/>
    <n v="1"/>
  </r>
  <r>
    <x v="0"/>
    <x v="3"/>
    <n v="1"/>
    <n v="0.97"/>
    <n v="1"/>
    <n v="1"/>
    <n v="0.96599999999999997"/>
    <n v="1"/>
  </r>
  <r>
    <x v="0"/>
    <x v="4"/>
    <n v="0.9163"/>
    <n v="0.98750000000000004"/>
    <n v="0.98"/>
    <n v="0.94379999999999997"/>
    <n v="1"/>
    <n v="1"/>
  </r>
  <r>
    <x v="0"/>
    <x v="5"/>
    <n v="1"/>
    <n v="1"/>
    <n v="0.98980000000000001"/>
    <n v="0.99490000000000001"/>
    <n v="1"/>
    <n v="1"/>
  </r>
  <r>
    <x v="0"/>
    <x v="6"/>
    <n v="0.95289999999999997"/>
    <n v="0.92349999999999999"/>
    <n v="0.91180000000000005"/>
    <n v="0.91759999999999997"/>
    <n v="0.9335"/>
    <n v="1"/>
  </r>
  <r>
    <x v="0"/>
    <x v="7"/>
    <n v="0.96179999999999999"/>
    <n v="0.93630000000000002"/>
    <n v="0.97"/>
    <n v="0.97019999999999995"/>
    <n v="0.95320000000000005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0.91010000000000002"/>
    <n v="0.97970000000000013"/>
    <n v="0.90400000000000003"/>
    <n v="0.98029999999999995"/>
    <n v="0.98053999999999997"/>
  </r>
  <r>
    <x v="0"/>
    <x v="1"/>
    <n v="0.97980000000000012"/>
    <n v="0.93400000000000005"/>
    <n v="0.97970000000000013"/>
    <n v="0.97903333333333353"/>
    <n v="0.94979999999999998"/>
  </r>
  <r>
    <x v="0"/>
    <x v="2"/>
    <n v="0.98019999999999996"/>
    <n v="0.96140000000000003"/>
    <n v="0.97830000000000017"/>
    <n v="0.90859999999999996"/>
    <n v="0.98003000000000018"/>
  </r>
  <r>
    <x v="0"/>
    <x v="3"/>
    <n v="0.97933333333333339"/>
    <n v="0.874"/>
    <n v="0.97950000000000015"/>
    <n v="0.96860000000000002"/>
    <n v="0.98003666666666678"/>
  </r>
  <r>
    <x v="0"/>
    <x v="4"/>
    <n v="0.95960000000000001"/>
    <n v="0.98099999999999998"/>
    <n v="0.98019999999999996"/>
    <n v="0.97930000000000006"/>
    <n v="0.97986333333333353"/>
  </r>
  <r>
    <x v="0"/>
    <x v="5"/>
    <n v="0.9204"/>
    <n v="0.95089999999999997"/>
    <n v="0.89700000000000002"/>
    <n v="0.98080000000000001"/>
    <n v="0.95089999999999997"/>
  </r>
  <r>
    <x v="0"/>
    <x v="6"/>
    <n v="0.96"/>
    <n v="0.98070000000000002"/>
    <n v="0.98119999999999996"/>
    <n v="0.98065000000000002"/>
    <n v="0.98014500000000004"/>
  </r>
  <r>
    <x v="0"/>
    <x v="7"/>
    <n v="0.98019999999999996"/>
    <n v="0.9234"/>
    <n v="0.92969999999999997"/>
    <n v="0.91979999999999995"/>
    <n v="0.98021999999999998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x v="0"/>
    <x v="0"/>
    <x v="0"/>
    <n v="216198725.78016001"/>
    <n v="237818598.35817602"/>
    <n v="309164177.86562884"/>
    <n v="278247760.07906598"/>
    <m/>
    <m/>
    <n v="270931595.19866532"/>
    <n v="270118687.98973191"/>
  </r>
  <r>
    <x v="0"/>
    <x v="1"/>
    <x v="0"/>
    <n v="70963411.136519998"/>
    <n v="149023163.38669202"/>
    <n v="134120847.04802282"/>
    <n v="67060423.524011411"/>
    <m/>
    <m/>
    <n v="106658006.93818957"/>
    <n v="111057738.42865381"/>
  </r>
  <r>
    <x v="0"/>
    <x v="2"/>
    <x v="0"/>
    <n v="6867782.6733600004"/>
    <n v="686778.26733599999"/>
    <n v="755456.09406960011"/>
    <n v="4457190.9550106404"/>
    <m/>
    <m/>
    <n v="2879798.6305933157"/>
    <n v="2704532.8167691687"/>
  </r>
  <r>
    <x v="0"/>
    <x v="3"/>
    <x v="0"/>
    <n v="5728699.4400000004"/>
    <n v="17758968.263999999"/>
    <n v="19534865.090400003"/>
    <n v="15627892.072320003"/>
    <m/>
    <m/>
    <n v="15636141.399513602"/>
    <n v="15637057.991424002"/>
  </r>
  <r>
    <x v="0"/>
    <x v="4"/>
    <x v="0"/>
    <n v="5119092.5365200005"/>
    <n v="10750094.326692002"/>
    <n v="11825103.759361204"/>
    <n v="13007614.135297325"/>
    <m/>
    <m/>
    <n v="10755622.946631445"/>
    <n v="10505401.703446347"/>
  </r>
  <r>
    <x v="0"/>
    <x v="5"/>
    <x v="0"/>
    <n v="12907471.03332"/>
    <n v="14198218.136652002"/>
    <n v="17037861.7639824"/>
    <n v="28964364.998770084"/>
    <m/>
    <m/>
    <n v="19122676.485284247"/>
    <n v="18029155.539341375"/>
  </r>
  <r>
    <x v="0"/>
    <x v="6"/>
    <x v="0"/>
    <n v="4543451.6608799994"/>
    <n v="8632558.1556719989"/>
    <n v="7769302.3401047988"/>
    <n v="6215441.87208384"/>
    <m/>
    <m/>
    <n v="6908954.333600563"/>
    <n v="6986011.2737690881"/>
  </r>
  <r>
    <x v="0"/>
    <x v="7"/>
    <x v="0"/>
    <n v="2944644.58824"/>
    <n v="4711431.3411840005"/>
    <n v="3769145.0729472009"/>
    <n v="1507658.0291788804"/>
    <m/>
    <m/>
    <n v="3157130.1417273991"/>
    <n v="3340404.8208994567"/>
  </r>
  <r>
    <x v="0"/>
    <x v="0"/>
    <x v="1"/>
    <n v="29.571428571428577"/>
    <n v="25.500000000000004"/>
    <n v="27.428571428571427"/>
    <n v="28.827586206896552"/>
    <m/>
    <m/>
    <n v="27.858866995073893"/>
    <n v="27.751231527093598"/>
  </r>
  <r>
    <x v="0"/>
    <x v="1"/>
    <x v="1"/>
    <n v="23.586206896551722"/>
    <n v="23.448275862068968"/>
    <n v="23.172413793103445"/>
    <n v="24.428571428571427"/>
    <m/>
    <m/>
    <n v="23.648275862068964"/>
    <n v="23.561576354679801"/>
  </r>
  <r>
    <x v="0"/>
    <x v="2"/>
    <x v="1"/>
    <n v="23.142857142857142"/>
    <n v="25.500000000000004"/>
    <n v="22.857142857142861"/>
    <n v="24.896551724137932"/>
    <m/>
    <m/>
    <n v="23.95532019704434"/>
    <n v="23.850738916256162"/>
  </r>
  <r>
    <x v="0"/>
    <x v="3"/>
    <x v="1"/>
    <n v="23.58620689655173"/>
    <n v="23.448275862068968"/>
    <n v="23.172413793103448"/>
    <n v="24.428571428571431"/>
    <m/>
    <m/>
    <n v="23.648275862068971"/>
    <n v="23.561576354679808"/>
  </r>
  <r>
    <x v="0"/>
    <x v="4"/>
    <x v="1"/>
    <n v="25.714285714285719"/>
    <n v="24.620689655172409"/>
    <n v="22.857142857142858"/>
    <n v="24.896551724137929"/>
    <m/>
    <m/>
    <n v="24.259901477832514"/>
    <n v="24.189162561576357"/>
  </r>
  <r>
    <x v="0"/>
    <x v="5"/>
    <x v="1"/>
    <n v="28.551724137931032"/>
    <n v="25.500000000000004"/>
    <n v="26.482758620689655"/>
    <n v="25.142857142857146"/>
    <m/>
    <m/>
    <n v="26.303103448275863"/>
    <n v="26.432019704433497"/>
  </r>
  <r>
    <x v="0"/>
    <x v="6"/>
    <x v="1"/>
    <n v="24.428571428571434"/>
    <n v="23.448275862068972"/>
    <n v="24"/>
    <n v="23.586206896551719"/>
    <m/>
    <m/>
    <n v="23.861970443349755"/>
    <n v="23.892610837438426"/>
  </r>
  <r>
    <x v="0"/>
    <x v="7"/>
    <x v="1"/>
    <n v="28.551724137931039"/>
    <n v="25.500000000000007"/>
    <n v="26.482758620689658"/>
    <n v="29.857142857142861"/>
    <m/>
    <m/>
    <n v="27.62310344827587"/>
    <n v="27.374876847290647"/>
  </r>
  <r>
    <x v="0"/>
    <x v="0"/>
    <x v="2"/>
    <n v="65428.561749258952"/>
    <n v="62062.309659260842"/>
    <n v="86782.927120176508"/>
    <n v="85020.148913047917"/>
    <m/>
    <m/>
    <n v="77995.852312450515"/>
    <n v="77215.374912384141"/>
  </r>
  <r>
    <x v="0"/>
    <x v="1"/>
    <x v="2"/>
    <n v="21649.854245039998"/>
    <n v="45198.818511574733"/>
    <n v="40200.360935000594"/>
    <n v="20459.112261562801"/>
    <m/>
    <m/>
    <n v="32233.442466028453"/>
    <n v="33541.701377635749"/>
  </r>
  <r>
    <x v="0"/>
    <x v="2"/>
    <x v="2"/>
    <n v="1888.9317369852631"/>
    <n v="208.13229324189473"/>
    <n v="205.21727512926319"/>
    <n v="1365.9133571806801"/>
    <m/>
    <m/>
    <n v="833.8054844980137"/>
    <n v="774.68238753327296"/>
  </r>
  <r>
    <x v="0"/>
    <x v="3"/>
    <x v="2"/>
    <n v="1777.8722400000004"/>
    <n v="5479.173511578947"/>
    <n v="5956.1839114105269"/>
    <n v="4850.0354707200004"/>
    <m/>
    <m/>
    <n v="4808.5043751936"/>
    <n v="4803.889809024"/>
  </r>
  <r>
    <x v="0"/>
    <x v="4"/>
    <x v="2"/>
    <n v="1643.9547842526317"/>
    <n v="3423.5358382061049"/>
    <n v="3375.587156998738"/>
    <n v="4188.8926876381202"/>
    <m/>
    <m/>
    <n v="3300.2496411007915"/>
    <n v="3201.5115248188663"/>
  </r>
  <r>
    <x v="0"/>
    <x v="5"/>
    <x v="2"/>
    <n v="4766.8983120378944"/>
    <n v="4521.6448481576845"/>
    <n v="5836.3415855211779"/>
    <n v="9094.9656374371716"/>
    <m/>
    <m/>
    <n v="6319.6111181052365"/>
    <n v="6011.2383937350214"/>
  </r>
  <r>
    <x v="0"/>
    <x v="6"/>
    <x v="2"/>
    <n v="1777.8723890400001"/>
    <n v="3358.2034015200002"/>
    <n v="2986.8256135871993"/>
    <n v="2432.1294282067201"/>
    <m/>
    <m/>
    <n v="2680.7471030900733"/>
    <n v="2708.3712891882237"/>
  </r>
  <r>
    <x v="0"/>
    <x v="7"/>
    <x v="2"/>
    <n v="1106.2457890484211"/>
    <n v="1526.2985379334739"/>
    <n v="1313.3863049108215"/>
    <n v="571.8702869299201"/>
    <m/>
    <m/>
    <n v="1106.8007289650147"/>
    <n v="1166.2374447466918"/>
  </r>
  <r>
    <x v="0"/>
    <x v="0"/>
    <x v="3"/>
    <n v="1.4"/>
    <n v="1.4"/>
    <n v="1.4"/>
    <n v="1.45"/>
    <m/>
    <m/>
    <n v="1.4139999999999999"/>
    <n v="1.41"/>
  </r>
  <r>
    <x v="0"/>
    <x v="1"/>
    <x v="3"/>
    <n v="1.45"/>
    <n v="1.4499999999999997"/>
    <n v="1.45"/>
    <n v="1.4"/>
    <m/>
    <m/>
    <n v="1.4359999999999999"/>
    <n v="1.44"/>
  </r>
  <r>
    <x v="0"/>
    <x v="2"/>
    <x v="3"/>
    <n v="1.4"/>
    <n v="1.4"/>
    <n v="1.4"/>
    <n v="1.45"/>
    <m/>
    <m/>
    <n v="1.4139999999999999"/>
    <n v="1.41"/>
  </r>
  <r>
    <x v="0"/>
    <x v="3"/>
    <x v="3"/>
    <n v="1.45"/>
    <n v="1.45"/>
    <n v="1.45"/>
    <n v="1.4"/>
    <m/>
    <m/>
    <n v="1.4359999999999999"/>
    <n v="1.44"/>
  </r>
  <r>
    <x v="0"/>
    <x v="4"/>
    <x v="3"/>
    <n v="1.4"/>
    <n v="1.45"/>
    <n v="1.4000000000000001"/>
    <n v="1.45"/>
    <m/>
    <m/>
    <n v="1.423"/>
    <n v="1.42"/>
  </r>
  <r>
    <x v="0"/>
    <x v="5"/>
    <x v="3"/>
    <n v="1.45"/>
    <n v="1.4"/>
    <n v="1.45"/>
    <n v="1.4"/>
    <m/>
    <m/>
    <n v="1.427"/>
    <n v="1.43"/>
  </r>
  <r>
    <x v="0"/>
    <x v="6"/>
    <x v="3"/>
    <n v="1.4"/>
    <n v="1.45"/>
    <n v="1.4"/>
    <n v="1.45"/>
    <m/>
    <m/>
    <n v="1.423"/>
    <n v="1.42"/>
  </r>
  <r>
    <x v="0"/>
    <x v="7"/>
    <x v="3"/>
    <n v="1.45"/>
    <n v="1.3999999999999997"/>
    <n v="1.45"/>
    <n v="1.4"/>
    <m/>
    <m/>
    <n v="1.427"/>
    <n v="1.43"/>
  </r>
  <r>
    <x v="0"/>
    <x v="0"/>
    <x v="4"/>
    <n v="0.71428571428571441"/>
    <n v="0.7142857142857143"/>
    <n v="0.7142857142857143"/>
    <n v="0.68965517241379315"/>
    <m/>
    <m/>
    <n v="0.70738916256157647"/>
    <n v="0.70935960591133018"/>
  </r>
  <r>
    <x v="0"/>
    <x v="1"/>
    <x v="4"/>
    <n v="0.68965517241379315"/>
    <n v="0.68965517241379315"/>
    <n v="0.68965517241379315"/>
    <n v="0.7142857142857143"/>
    <m/>
    <m/>
    <n v="0.69655172413793121"/>
    <n v="0.69458128078817749"/>
  </r>
  <r>
    <x v="0"/>
    <x v="2"/>
    <x v="4"/>
    <n v="0.7142857142857143"/>
    <n v="0.71428571428571441"/>
    <n v="0.7142857142857143"/>
    <n v="0.68965517241379315"/>
    <m/>
    <m/>
    <n v="0.70738916256157647"/>
    <n v="0.70935960591133018"/>
  </r>
  <r>
    <x v="0"/>
    <x v="3"/>
    <x v="4"/>
    <n v="0.68965517241379304"/>
    <n v="0.68965517241379315"/>
    <n v="0.68965517241379315"/>
    <n v="0.7142857142857143"/>
    <m/>
    <m/>
    <n v="0.69655172413793109"/>
    <n v="0.69458128078817738"/>
  </r>
  <r>
    <x v="0"/>
    <x v="4"/>
    <x v="4"/>
    <n v="0.7142857142857143"/>
    <n v="0.68965517241379315"/>
    <n v="0.7142857142857143"/>
    <n v="0.68965517241379315"/>
    <m/>
    <m/>
    <n v="0.70295566502463069"/>
    <n v="0.70443349753694595"/>
  </r>
  <r>
    <x v="0"/>
    <x v="5"/>
    <x v="4"/>
    <n v="0.68965517241379304"/>
    <n v="0.7142857142857143"/>
    <n v="0.68965517241379315"/>
    <n v="0.7142857142857143"/>
    <m/>
    <m/>
    <n v="0.70098522167487698"/>
    <n v="0.69950738916256172"/>
  </r>
  <r>
    <x v="0"/>
    <x v="6"/>
    <x v="4"/>
    <n v="0.7142857142857143"/>
    <n v="0.68965517241379315"/>
    <n v="0.7142857142857143"/>
    <n v="0.68965517241379304"/>
    <m/>
    <m/>
    <n v="0.70295566502463069"/>
    <n v="0.70443349753694595"/>
  </r>
  <r>
    <x v="0"/>
    <x v="7"/>
    <x v="4"/>
    <n v="0.68965517241379304"/>
    <n v="0.71428571428571441"/>
    <n v="0.68965517241379315"/>
    <n v="0.7142857142857143"/>
    <m/>
    <m/>
    <n v="0.70098522167487698"/>
    <n v="0.69950738916256172"/>
  </r>
  <r>
    <x v="0"/>
    <x v="0"/>
    <x v="5"/>
    <n v="1.3199189665356006"/>
    <n v="1.116854989750609"/>
    <n v="1.25832343027791"/>
    <n v="1.7687225173528169"/>
    <m/>
    <m/>
    <n v="1.3868580518903544"/>
    <n v="1.3444286668389696"/>
  </r>
  <r>
    <x v="0"/>
    <x v="1"/>
    <x v="5"/>
    <n v="0.56646424539013263"/>
    <n v="0.91505764705920711"/>
    <n v="0.7137451284715971"/>
    <n v="0.38236342738018109"/>
    <m/>
    <m/>
    <n v="0.63068394655710691"/>
    <n v="0.65827511535454308"/>
  </r>
  <r>
    <x v="0"/>
    <x v="2"/>
    <x v="5"/>
    <n v="1.2172833187616294"/>
    <n v="0.20288055312693826"/>
    <n v="0.22316860843963207"/>
    <n v="1.3166947897938295"/>
    <m/>
    <m/>
    <n v="0.70464473712048203"/>
    <n v="0.63663917571233231"/>
  </r>
  <r>
    <x v="0"/>
    <x v="3"/>
    <x v="5"/>
    <n v="0.43416504136122136"/>
    <n v="2.2431860470329772"/>
    <n v="2.4675046517362751"/>
    <n v="1.9740037213890202"/>
    <m/>
    <m/>
    <n v="1.9229459125249406"/>
    <n v="1.917272822651154"/>
  </r>
  <r>
    <x v="0"/>
    <x v="4"/>
    <x v="5"/>
    <n v="0.71510373833439489"/>
    <n v="2.5028630841703818"/>
    <n v="2.7531493925874204"/>
    <n v="3.0284643318461626"/>
    <m/>
    <m/>
    <n v="2.4183378222992569"/>
    <n v="2.3505459879051562"/>
  </r>
  <r>
    <x v="0"/>
    <x v="5"/>
    <x v="5"/>
    <n v="1.4424714103167664"/>
    <n v="1.2205527318064946"/>
    <n v="1.2693748410787544"/>
    <n v="2.312075603393446"/>
    <m/>
    <m/>
    <n v="1.5837004573207036"/>
    <n v="1.5027698855348435"/>
  </r>
  <r>
    <x v="0"/>
    <x v="6"/>
    <x v="5"/>
    <n v="0.76617366663090647"/>
    <n v="2.4262166109978702"/>
    <n v="2.1835949498980831"/>
    <n v="1.7468759599184669"/>
    <m/>
    <m/>
    <n v="1.8498497007136607"/>
    <n v="1.8612912274686821"/>
  </r>
  <r>
    <x v="0"/>
    <x v="7"/>
    <x v="5"/>
    <n v="0.83687956981164902"/>
    <n v="2.2316788528310645"/>
    <n v="1.7853430822648517"/>
    <n v="0.71413723290594067"/>
    <m/>
    <m/>
    <n v="1.3950224509046985"/>
    <n v="1.4706763640156715"/>
  </r>
  <r>
    <x v="0"/>
    <x v="0"/>
    <x v="6"/>
    <n v="0.60716272460637621"/>
    <n v="0.44303572419821013"/>
    <n v="0.53688466358524167"/>
    <n v="0.82147334694830831"/>
    <m/>
    <m/>
    <n v="0.612326736821039"/>
    <n v="0.58908822458467569"/>
  </r>
  <r>
    <x v="0"/>
    <x v="1"/>
    <x v="6"/>
    <n v="0.2152564132482504"/>
    <n v="0.34568844444458929"/>
    <n v="0.26646904052644821"/>
    <n v="0.1452981024044688"/>
    <m/>
    <m/>
    <n v="0.23758239764748376"/>
    <n v="0.24783620823004099"/>
  </r>
  <r>
    <x v="0"/>
    <x v="2"/>
    <x v="6"/>
    <n v="0.43822199475418661"/>
    <n v="8.0475952740352172E-2"/>
    <n v="7.9348838556313639E-2"/>
    <n v="0.5281409101284138"/>
    <m/>
    <m/>
    <n v="0.26981066726524572"/>
    <n v="0.24110730694711596"/>
  </r>
  <r>
    <x v="0"/>
    <x v="3"/>
    <x v="6"/>
    <n v="0.16498271571726414"/>
    <n v="0.84742583999023569"/>
    <n v="0.92155939997394143"/>
    <n v="0.75012141412782751"/>
    <m/>
    <m/>
    <n v="0.72402891997376062"/>
    <n v="0.72112975395664214"/>
  </r>
  <r>
    <x v="0"/>
    <x v="4"/>
    <x v="6"/>
    <n v="0.28604149533375794"/>
    <n v="0.99280235672091799"/>
    <n v="0.97889756180886067"/>
    <n v="1.2147506931071828"/>
    <m/>
    <m/>
    <n v="0.92272520969104277"/>
    <n v="0.89027793375591613"/>
  </r>
  <r>
    <x v="0"/>
    <x v="5"/>
    <x v="6"/>
    <n v="0.66401076194076247"/>
    <n v="0.4841525836165762"/>
    <n v="0.54159993219360181"/>
    <n v="0.90427845821610331"/>
    <m/>
    <m/>
    <n v="0.65484334609052652"/>
    <n v="0.62712833363212916"/>
  </r>
  <r>
    <x v="0"/>
    <x v="6"/>
    <x v="6"/>
    <n v="0.29114599331974444"/>
    <n v="0.91657071971030657"/>
    <n v="0.81520878129528429"/>
    <n v="0.66381286476901735"/>
    <m/>
    <m/>
    <n v="0.69673177174703638"/>
    <n v="0.70038942807792737"/>
  </r>
  <r>
    <x v="0"/>
    <x v="7"/>
    <x v="6"/>
    <n v="0.38496460211335859"/>
    <n v="0.88523261162298883"/>
    <n v="0.7617463817663368"/>
    <n v="0.33167707039409239"/>
    <m/>
    <m/>
    <n v="0.59573377561876972"/>
    <n v="0.6250734095326228"/>
  </r>
  <r>
    <x v="0"/>
    <x v="0"/>
    <x v="7"/>
    <n v="0.29571428571428576"/>
    <n v="0.255"/>
    <n v="0.2742857142857143"/>
    <n v="0.28827586206896549"/>
    <m/>
    <m/>
    <n v="0.27858866995073889"/>
    <n v="0.27751231527093595"/>
  </r>
  <r>
    <x v="0"/>
    <x v="1"/>
    <x v="7"/>
    <n v="0.23586206896551723"/>
    <n v="0.23448275862068968"/>
    <n v="0.23172413793103447"/>
    <n v="0.24428571428571427"/>
    <m/>
    <m/>
    <n v="0.23648275862068965"/>
    <n v="0.23561576354679803"/>
  </r>
  <r>
    <x v="0"/>
    <x v="2"/>
    <x v="7"/>
    <n v="0.23142857142857143"/>
    <n v="0.255"/>
    <n v="0.22857142857142862"/>
    <n v="0.24896551724137933"/>
    <m/>
    <m/>
    <n v="0.23955320197044339"/>
    <n v="0.23850738916256162"/>
  </r>
  <r>
    <x v="0"/>
    <x v="3"/>
    <x v="7"/>
    <n v="0.23586206896551726"/>
    <n v="0.23448275862068965"/>
    <n v="0.23172413793103447"/>
    <n v="0.24428571428571427"/>
    <m/>
    <m/>
    <n v="0.23648275862068965"/>
    <n v="0.23561576354679803"/>
  </r>
  <r>
    <x v="0"/>
    <x v="4"/>
    <x v="7"/>
    <n v="0.25714285714285717"/>
    <n v="0.24620689655172412"/>
    <n v="0.22857142857142859"/>
    <n v="0.2489655172413793"/>
    <m/>
    <m/>
    <n v="0.24259901477832516"/>
    <n v="0.24189162561576358"/>
  </r>
  <r>
    <x v="0"/>
    <x v="5"/>
    <x v="7"/>
    <n v="0.28551724137931034"/>
    <n v="0.255"/>
    <n v="0.26482758620689656"/>
    <n v="0.25142857142857145"/>
    <m/>
    <m/>
    <n v="0.26303103448275861"/>
    <n v="0.26432019704433496"/>
  </r>
  <r>
    <x v="0"/>
    <x v="6"/>
    <x v="7"/>
    <n v="0.2442857142857143"/>
    <n v="0.23448275862068971"/>
    <n v="0.24"/>
    <n v="0.2358620689655172"/>
    <m/>
    <m/>
    <n v="0.23861970443349753"/>
    <n v="0.23892610837438424"/>
  </r>
  <r>
    <x v="0"/>
    <x v="7"/>
    <x v="7"/>
    <n v="0.28551724137931034"/>
    <n v="0.25500000000000006"/>
    <n v="0.26482758620689656"/>
    <n v="0.2985714285714286"/>
    <m/>
    <m/>
    <n v="0.27623103448275865"/>
    <n v="0.27374876847290641"/>
  </r>
  <r>
    <x v="0"/>
    <x v="0"/>
    <x v="8"/>
    <s v="sin dato"/>
    <s v="sin dato"/>
    <s v="sin dato"/>
    <s v="sin dato"/>
    <m/>
    <m/>
    <e v="#VALUE!"/>
    <s v="sin dato"/>
  </r>
  <r>
    <x v="0"/>
    <x v="1"/>
    <x v="8"/>
    <s v="sin dato"/>
    <s v="sin dato"/>
    <s v="sin dato"/>
    <s v="sin dato"/>
    <m/>
    <m/>
    <e v="#VALUE!"/>
    <s v="sin dato"/>
  </r>
  <r>
    <x v="0"/>
    <x v="2"/>
    <x v="8"/>
    <s v="sin dato"/>
    <s v="sin dato"/>
    <s v="sin dato"/>
    <s v="sin dato"/>
    <m/>
    <m/>
    <e v="#VALUE!"/>
    <s v="sin dato"/>
  </r>
  <r>
    <x v="0"/>
    <x v="3"/>
    <x v="8"/>
    <s v="sin dato"/>
    <s v="sin dato"/>
    <s v="sin dato"/>
    <s v="sin dato"/>
    <m/>
    <m/>
    <e v="#VALUE!"/>
    <s v="sin dato"/>
  </r>
  <r>
    <x v="0"/>
    <x v="4"/>
    <x v="8"/>
    <s v="sin dato"/>
    <s v="sin dato"/>
    <s v="sin dato"/>
    <s v="sin dato"/>
    <m/>
    <m/>
    <e v="#VALUE!"/>
    <s v="sin dato"/>
  </r>
  <r>
    <x v="0"/>
    <x v="5"/>
    <x v="8"/>
    <n v="33055.134280554747"/>
    <n v="31354.471574816063"/>
    <n v="40470.98179740963"/>
    <n v="63067.27996763002"/>
    <m/>
    <m/>
    <n v="43822.120891970619"/>
    <n v="41683.769883564019"/>
  </r>
  <r>
    <x v="0"/>
    <x v="6"/>
    <x v="8"/>
    <s v="sin dato"/>
    <s v="sin dato"/>
    <s v="sin dato"/>
    <s v="sin dato"/>
    <m/>
    <m/>
    <e v="#VALUE!"/>
    <s v="sin dato"/>
  </r>
  <r>
    <x v="0"/>
    <x v="7"/>
    <x v="8"/>
    <n v="13055.074529142858"/>
    <n v="18012.218770643482"/>
    <n v="15499.589933730193"/>
    <n v="6748.77978364502"/>
    <m/>
    <m/>
    <n v="13061.623509525018"/>
    <n v="13763.050590178351"/>
  </r>
  <r>
    <x v="0"/>
    <x v="0"/>
    <x v="9"/>
    <n v="6782873.7000000002"/>
    <n v="9542912.9952755906"/>
    <n v="11105287.666666666"/>
    <s v="Ya no terceriza"/>
    <m/>
    <m/>
    <s v="Ya no terceriza"/>
    <s v="Ya no terceriza"/>
  </r>
  <r>
    <x v="0"/>
    <x v="1"/>
    <x v="9"/>
    <n v="6529033.6926315771"/>
    <n v="9076231.9483146053"/>
    <n v="10026516.838709675"/>
    <n v="9457427.6086956505"/>
    <m/>
    <m/>
    <n v="9066573.6077405773"/>
    <n v="9023145.3854122367"/>
  </r>
  <r>
    <x v="0"/>
    <x v="2"/>
    <x v="9"/>
    <n v="236682.23249999995"/>
    <n v="134396.6658461538"/>
    <n v="123485.53187628899"/>
    <n v="121796.90399999998"/>
    <m/>
    <m/>
    <n v="145352.1262977717"/>
    <n v="147969.37321974634"/>
  </r>
  <r>
    <x v="0"/>
    <x v="3"/>
    <x v="9"/>
    <n v="669529.10425531911"/>
    <n v="389507.97290322575"/>
    <n v="404033.16983169242"/>
    <n v="389507.97290322575"/>
    <m/>
    <m/>
    <n v="445140.84744085057"/>
    <n v="451322.27794503112"/>
  </r>
  <r>
    <x v="0"/>
    <x v="4"/>
    <x v="9"/>
    <n v="333487.63957894733"/>
    <n v="183292.58374736842"/>
    <n v="183292.58374736842"/>
    <n v="201213.58472727268"/>
    <m/>
    <m/>
    <n v="215345.57407142583"/>
    <n v="216915.79510966508"/>
  </r>
  <r>
    <x v="0"/>
    <x v="5"/>
    <x v="9"/>
    <n v="442664.75217391289"/>
    <n v="555586.6428865979"/>
    <n v="661404.67337740364"/>
    <n v="615103.36926315771"/>
    <m/>
    <m/>
    <n v="590019.8769204414"/>
    <n v="587232.82221569517"/>
  </r>
  <r>
    <x v="0"/>
    <x v="6"/>
    <x v="9"/>
    <n v="370862.56666666659"/>
    <n v="207895.27661538453"/>
    <n v="195416.91206896555"/>
    <n v="205179.02360869557"/>
    <m/>
    <m/>
    <n v="231976.62674603157"/>
    <n v="234954.13820573557"/>
  </r>
  <r>
    <x v="0"/>
    <x v="7"/>
    <x v="9"/>
    <n v="154242.75410248345"/>
    <n v="74319.540521739124"/>
    <n v="68918.301492537314"/>
    <n v="74827.486113537117"/>
    <m/>
    <m/>
    <n v="86903.497681463879"/>
    <n v="88245.276744566858"/>
  </r>
  <r>
    <x v="1"/>
    <x v="0"/>
    <x v="10"/>
    <n v="2.5"/>
    <n v="2.67"/>
    <n v="2.68"/>
    <n v="2.4300000000000002"/>
    <n v="2.5790000000000002"/>
    <n v="1.5389999999999999"/>
    <n v="2.5758000000000001"/>
    <n v="2.5920000000000001"/>
  </r>
  <r>
    <x v="1"/>
    <x v="1"/>
    <x v="10"/>
    <n v="2.5"/>
    <n v="2.67"/>
    <n v="2.68"/>
    <n v="2.4300000000000002"/>
    <n v="2.5790000000000002"/>
    <n v="1.5389999999999999"/>
    <n v="2.5758000000000001"/>
    <n v="2.5920000000000001"/>
  </r>
  <r>
    <x v="1"/>
    <x v="2"/>
    <x v="10"/>
    <n v="2.5"/>
    <n v="2.67"/>
    <n v="2.68"/>
    <n v="2.4300000000000002"/>
    <n v="2.5790000000000002"/>
    <n v="1.5389999999999999"/>
    <n v="2.5758000000000001"/>
    <n v="2.5920000000000001"/>
  </r>
  <r>
    <x v="1"/>
    <x v="3"/>
    <x v="10"/>
    <n v="2.68"/>
    <n v="3.67"/>
    <n v="3.1"/>
    <n v="3.07"/>
    <n v="3.157"/>
    <n v="1.8690000000000002"/>
    <n v="3.1186000000000003"/>
    <n v="3.1240000000000001"/>
  </r>
  <r>
    <x v="1"/>
    <x v="4"/>
    <x v="10"/>
    <n v="2.98"/>
    <n v="2.97"/>
    <n v="2.9"/>
    <n v="2.95"/>
    <n v="2.9649999999999999"/>
    <n v="1.7649999999999999"/>
    <n v="2.9409999999999994"/>
    <n v="2.9399999999999995"/>
  </r>
  <r>
    <x v="1"/>
    <x v="5"/>
    <x v="10"/>
    <n v="1.98"/>
    <n v="1.98"/>
    <n v="2.12"/>
    <n v="1.91"/>
    <n v="1.9870000000000001"/>
    <n v="1.202"/>
    <n v="2.0108000000000001"/>
    <n v="2.0220000000000002"/>
  </r>
  <r>
    <x v="1"/>
    <x v="6"/>
    <x v="10"/>
    <n v="2.68"/>
    <n v="3.67"/>
    <n v="3.1"/>
    <n v="3.07"/>
    <n v="3.157"/>
    <n v="1.8690000000000002"/>
    <n v="3.1186000000000003"/>
    <n v="3.1240000000000001"/>
  </r>
  <r>
    <x v="1"/>
    <x v="7"/>
    <x v="10"/>
    <n v="1.98"/>
    <n v="1.98"/>
    <n v="2.12"/>
    <n v="1.91"/>
    <n v="1.9870000000000001"/>
    <n v="1.202"/>
    <n v="2.0108000000000001"/>
    <n v="2.0220000000000002"/>
  </r>
  <r>
    <x v="1"/>
    <x v="0"/>
    <x v="11"/>
    <n v="17.13"/>
    <n v="16.97"/>
    <n v="17.149999999999999"/>
    <n v="17.13"/>
    <n v="17.068000000000001"/>
    <n v="10.266"/>
    <n v="17.108400000000003"/>
    <n v="17.106000000000002"/>
  </r>
  <r>
    <x v="1"/>
    <x v="1"/>
    <x v="11"/>
    <n v="17.13"/>
    <n v="17.12"/>
    <n v="17.13"/>
    <n v="17.149999999999999"/>
    <n v="17.128"/>
    <n v="10.281000000000001"/>
    <n v="17.133800000000001"/>
    <n v="17.132000000000001"/>
  </r>
  <r>
    <x v="1"/>
    <x v="2"/>
    <x v="11"/>
    <n v="17.12"/>
    <n v="17.13"/>
    <n v="17.149999999999999"/>
    <n v="17.14"/>
    <n v="17.129000000000001"/>
    <n v="10.283000000000001"/>
    <n v="17.138200000000001"/>
    <n v="17.138000000000002"/>
  </r>
  <r>
    <x v="1"/>
    <x v="3"/>
    <x v="11"/>
    <n v="17.12"/>
    <n v="16.990000000000002"/>
    <n v="17.11"/>
    <n v="17.13"/>
    <n v="17.068000000000001"/>
    <n v="10.259"/>
    <n v="17.095799999999997"/>
    <n v="17.091999999999999"/>
  </r>
  <r>
    <x v="1"/>
    <x v="4"/>
    <x v="11"/>
    <n v="17.12"/>
    <n v="17.14"/>
    <n v="17.13"/>
    <n v="16.97"/>
    <n v="17.114000000000001"/>
    <n v="10.246"/>
    <n v="17.0852"/>
    <n v="17.097999999999999"/>
  </r>
  <r>
    <x v="1"/>
    <x v="5"/>
    <x v="11"/>
    <n v="17.13"/>
    <n v="17.11"/>
    <n v="17.149999999999999"/>
    <n v="16.97"/>
    <n v="17.108000000000001"/>
    <n v="10.248000000000001"/>
    <n v="17.088799999999999"/>
    <n v="17.102"/>
  </r>
  <r>
    <x v="1"/>
    <x v="6"/>
    <x v="11"/>
    <n v="17.13"/>
    <n v="17.100000000000001"/>
    <n v="17.13"/>
    <n v="17.14"/>
    <n v="17.119"/>
    <n v="10.277000000000001"/>
    <n v="17.127400000000002"/>
    <n v="17.126000000000001"/>
  </r>
  <r>
    <x v="1"/>
    <x v="7"/>
    <x v="11"/>
    <n v="16.78"/>
    <n v="16.86"/>
    <n v="17.11"/>
    <n v="17.13"/>
    <n v="16.88"/>
    <n v="10.212"/>
    <n v="17.011199999999999"/>
    <n v="16.997999999999998"/>
  </r>
  <r>
    <x v="1"/>
    <x v="0"/>
    <x v="12"/>
    <n v="7.13"/>
    <n v="7.12"/>
    <n v="7.12"/>
    <n v="6.78"/>
    <n v="7.0900000000000007"/>
    <n v="4.2050000000000001"/>
    <n v="7.0266000000000002"/>
    <n v="7.0540000000000003"/>
  </r>
  <r>
    <x v="1"/>
    <x v="1"/>
    <x v="12"/>
    <n v="7.12"/>
    <n v="7.13"/>
    <n v="7.14"/>
    <n v="6.86"/>
    <n v="7.1000000000000014"/>
    <n v="4.2250000000000005"/>
    <n v="7.0562000000000005"/>
    <n v="7.0780000000000003"/>
  </r>
  <r>
    <x v="1"/>
    <x v="2"/>
    <x v="12"/>
    <n v="7.13"/>
    <n v="7.15"/>
    <n v="7.13"/>
    <n v="7.11"/>
    <n v="7.136000000000001"/>
    <n v="4.2759999999999998"/>
    <n v="7.128000000000001"/>
    <n v="7.1300000000000008"/>
  </r>
  <r>
    <x v="1"/>
    <x v="3"/>
    <x v="12"/>
    <n v="7.15"/>
    <n v="7.14"/>
    <n v="6.97"/>
    <n v="7.13"/>
    <n v="7.1260000000000003"/>
    <n v="4.2490000000000006"/>
    <n v="7.0778000000000008"/>
    <n v="7.072000000000001"/>
  </r>
  <r>
    <x v="1"/>
    <x v="4"/>
    <x v="12"/>
    <n v="7.13"/>
    <n v="7.12"/>
    <n v="7.13"/>
    <n v="7.13"/>
    <n v="7.1260000000000012"/>
    <n v="4.277000000000001"/>
    <n v="7.1282000000000005"/>
    <n v="7.128000000000001"/>
  </r>
  <r>
    <x v="1"/>
    <x v="5"/>
    <x v="12"/>
    <n v="6.97"/>
    <n v="6.99"/>
    <n v="7.1"/>
    <n v="7.11"/>
    <n v="7.0050000000000008"/>
    <n v="4.2379999999999995"/>
    <n v="7.0596000000000005"/>
    <n v="7.0540000000000003"/>
  </r>
  <r>
    <x v="1"/>
    <x v="6"/>
    <x v="12"/>
    <n v="7.15"/>
    <n v="7.11"/>
    <n v="7.13"/>
    <n v="7.15"/>
    <n v="7.1320000000000006"/>
    <n v="4.282"/>
    <n v="7.1356000000000002"/>
    <n v="7.1340000000000003"/>
  </r>
  <r>
    <x v="1"/>
    <x v="7"/>
    <x v="12"/>
    <n v="7.13"/>
    <n v="7.13"/>
    <n v="7.14"/>
    <n v="6.97"/>
    <n v="7.1150000000000011"/>
    <n v="4.2480000000000002"/>
    <n v="7.0888"/>
    <n v="7.1020000000000003"/>
  </r>
  <r>
    <x v="1"/>
    <x v="0"/>
    <x v="13"/>
    <n v="1.5"/>
    <n v="1.67"/>
    <n v="1.6800000000000002"/>
    <n v="1.4300000000000002"/>
    <n v="1.573"/>
    <n v="0.93900000000000017"/>
    <n v="1.5758000000000003"/>
    <n v="1.5920000000000003"/>
  </r>
  <r>
    <x v="1"/>
    <x v="1"/>
    <x v="13"/>
    <n v="1.5"/>
    <n v="1.67"/>
    <n v="1.6800000000000002"/>
    <n v="1.4300000000000002"/>
    <n v="1.573"/>
    <n v="0.93900000000000017"/>
    <n v="1.5758000000000003"/>
    <n v="1.5920000000000003"/>
  </r>
  <r>
    <x v="1"/>
    <x v="2"/>
    <x v="13"/>
    <n v="1.5"/>
    <n v="1.67"/>
    <n v="1.6800000000000002"/>
    <n v="1.4300000000000002"/>
    <n v="1.573"/>
    <n v="0.93900000000000017"/>
    <n v="1.5758000000000003"/>
    <n v="1.5920000000000003"/>
  </r>
  <r>
    <x v="1"/>
    <x v="3"/>
    <x v="13"/>
    <n v="1.6800000000000002"/>
    <n v="2.67"/>
    <n v="2.1"/>
    <n v="2.0699999999999998"/>
    <n v="2.1390000000000002"/>
    <n v="1.2690000000000001"/>
    <n v="2.1186000000000003"/>
    <n v="2.1240000000000001"/>
  </r>
  <r>
    <x v="1"/>
    <x v="4"/>
    <x v="13"/>
    <n v="1.98"/>
    <n v="1.9700000000000002"/>
    <n v="1.9"/>
    <n v="1.9500000000000002"/>
    <n v="1.9550000000000001"/>
    <n v="1.165"/>
    <n v="1.9410000000000003"/>
    <n v="1.9400000000000002"/>
  </r>
  <r>
    <x v="1"/>
    <x v="5"/>
    <x v="13"/>
    <n v="0.98"/>
    <n v="0.98"/>
    <n v="1.1200000000000001"/>
    <n v="0.90999999999999992"/>
    <n v="0.99399999999999999"/>
    <n v="0.60200000000000009"/>
    <n v="1.0107999999999999"/>
    <n v="1.022"/>
  </r>
  <r>
    <x v="1"/>
    <x v="6"/>
    <x v="13"/>
    <n v="1.6800000000000002"/>
    <n v="2.67"/>
    <n v="2.1"/>
    <n v="2.0699999999999998"/>
    <n v="2.1390000000000002"/>
    <n v="1.2690000000000001"/>
    <n v="2.1186000000000003"/>
    <n v="2.1240000000000001"/>
  </r>
  <r>
    <x v="1"/>
    <x v="7"/>
    <x v="13"/>
    <n v="0.98"/>
    <n v="0.98"/>
    <n v="1.1200000000000001"/>
    <n v="0.90999999999999992"/>
    <n v="0.99399999999999999"/>
    <n v="0.60200000000000009"/>
    <n v="1.0107999999999999"/>
    <n v="1.022"/>
  </r>
  <r>
    <x v="2"/>
    <x v="0"/>
    <x v="14"/>
    <n v="0.98"/>
    <n v="0.97899999999999998"/>
    <n v="0.97899999999999998"/>
    <n v="0.98029999999999995"/>
    <n v="0.97953000000000001"/>
    <n v="1"/>
    <n v="0.97954400000000008"/>
    <n v="0.97946000000000011"/>
  </r>
  <r>
    <x v="2"/>
    <x v="1"/>
    <x v="14"/>
    <n v="0.97950000000000004"/>
    <n v="0.97989999999999999"/>
    <n v="0.97909999999999997"/>
    <n v="0.9788"/>
    <n v="0.97954999999999992"/>
    <n v="1"/>
    <n v="0.97923199999999999"/>
    <n v="0.97928000000000004"/>
  </r>
  <r>
    <x v="2"/>
    <x v="2"/>
    <x v="14"/>
    <n v="0.97899999999999998"/>
    <n v="0.98080000000000001"/>
    <n v="0.97940000000000005"/>
    <n v="0.97970000000000002"/>
    <n v="0.97982999999999998"/>
    <n v="1"/>
    <n v="0.97966399999999998"/>
    <n v="0.97965999999999998"/>
  </r>
  <r>
    <x v="2"/>
    <x v="3"/>
    <x v="14"/>
    <n v="0.97919999999999996"/>
    <n v="0.98019999999999996"/>
    <n v="0.9795666666666667"/>
    <n v="0.97899999999999998"/>
    <n v="0.97961666666666669"/>
    <n v="1"/>
    <n v="0.9794560000000001"/>
    <n v="0.97950666666666675"/>
  </r>
  <r>
    <x v="2"/>
    <x v="4"/>
    <x v="14"/>
    <n v="0.96940000000000004"/>
    <n v="0.9798"/>
    <n v="0.97976666666666667"/>
    <n v="0.97929999999999995"/>
    <n v="0.97558666666666682"/>
    <n v="1"/>
    <n v="0.9777760000000002"/>
    <n v="0.97760666666666685"/>
  </r>
  <r>
    <x v="2"/>
    <x v="5"/>
    <x v="14"/>
    <n v="0.98"/>
    <n v="0.98019999999999996"/>
    <n v="0.98040000000000005"/>
    <n v="0.97960000000000003"/>
    <n v="0.98008000000000006"/>
    <n v="1"/>
    <n v="0.98006799999999994"/>
    <n v="0.98011999999999999"/>
  </r>
  <r>
    <x v="2"/>
    <x v="6"/>
    <x v="14"/>
    <n v="0.97140000000000004"/>
    <n v="0.98049333333333333"/>
    <n v="0.97889999999999999"/>
    <n v="0.97918000000000005"/>
    <n v="0.97656533333333329"/>
    <n v="1"/>
    <n v="0.97791519999999998"/>
    <n v="0.97777466666666668"/>
  </r>
  <r>
    <x v="2"/>
    <x v="7"/>
    <x v="14"/>
    <n v="0.9798"/>
    <n v="0.98009999999999997"/>
    <n v="0.98019999999999996"/>
    <n v="0.97899999999999998"/>
    <n v="0.97987999999999997"/>
    <n v="1"/>
    <n v="0.97977399999999992"/>
    <n v="0.97985999999999995"/>
  </r>
  <r>
    <x v="2"/>
    <x v="0"/>
    <x v="15"/>
    <n v="0.97"/>
    <n v="0.98"/>
    <n v="0.99"/>
    <n v="0.97"/>
    <n v="0.97599999999999998"/>
    <n v="1"/>
    <n v="0.97899999999999998"/>
    <n v="0.98"/>
  </r>
  <r>
    <x v="2"/>
    <x v="1"/>
    <x v="15"/>
    <n v="0.97"/>
    <n v="0.97"/>
    <n v="0.97"/>
    <n v="0.97"/>
    <n v="0.97"/>
    <n v="1"/>
    <n v="0.97"/>
    <n v="0.97"/>
  </r>
  <r>
    <x v="2"/>
    <x v="2"/>
    <x v="15"/>
    <n v="0.99"/>
    <n v="0.99"/>
    <n v="0.98"/>
    <n v="0.98"/>
    <n v="0.98799999999999999"/>
    <n v="1"/>
    <n v="0.98360000000000003"/>
    <n v="0.98399999999999999"/>
  </r>
  <r>
    <x v="2"/>
    <x v="3"/>
    <x v="15"/>
    <n v="0.97"/>
    <n v="0.97"/>
    <n v="0.97"/>
    <n v="0.97"/>
    <n v="0.97"/>
    <n v="1"/>
    <n v="0.97"/>
    <n v="0.97"/>
  </r>
  <r>
    <x v="2"/>
    <x v="4"/>
    <x v="15"/>
    <n v="0.98"/>
    <n v="0.98"/>
    <n v="0.99"/>
    <n v="0.97"/>
    <n v="0.98"/>
    <n v="1"/>
    <n v="0.98080000000000001"/>
    <n v="0.98199999999999998"/>
  </r>
  <r>
    <x v="2"/>
    <x v="5"/>
    <x v="15"/>
    <n v="0.98"/>
    <n v="0.95"/>
    <n v="0.95"/>
    <n v="0.99"/>
    <n v="0.96599999999999997"/>
    <n v="1"/>
    <n v="0.96660000000000001"/>
    <n v="0.96399999999999997"/>
  </r>
  <r>
    <x v="2"/>
    <x v="6"/>
    <x v="15"/>
    <n v="0.97"/>
    <n v="0.99"/>
    <n v="0.97"/>
    <n v="0.97"/>
    <n v="0.97799999999999998"/>
    <n v="1"/>
    <n v="0.97360000000000002"/>
    <n v="0.97399999999999998"/>
  </r>
  <r>
    <x v="2"/>
    <x v="7"/>
    <x v="15"/>
    <n v="1"/>
    <n v="0.97"/>
    <n v="0.97"/>
    <n v="0.97"/>
    <n v="0.98199999999999998"/>
    <n v="1"/>
    <n v="0.97539999999999993"/>
    <n v="0.97599999999999998"/>
  </r>
  <r>
    <x v="2"/>
    <x v="0"/>
    <x v="16"/>
    <n v="0.9"/>
    <n v="0.91"/>
    <n v="0.9"/>
    <n v="0.94"/>
    <n v="0.90800000000000003"/>
    <n v="1"/>
    <n v="0.91300000000000014"/>
    <n v="0.91000000000000014"/>
  </r>
  <r>
    <x v="2"/>
    <x v="1"/>
    <x v="16"/>
    <n v="0.91"/>
    <n v="0.93"/>
    <n v="0.9"/>
    <n v="0.94"/>
    <n v="0.92"/>
    <n v="1"/>
    <n v="0.91840000000000011"/>
    <n v="0.91600000000000015"/>
  </r>
  <r>
    <x v="2"/>
    <x v="2"/>
    <x v="16"/>
    <n v="0.93"/>
    <n v="0.9"/>
    <n v="0.91"/>
    <n v="0.9"/>
    <n v="0.91300000000000003"/>
    <n v="1"/>
    <n v="0.90900000000000014"/>
    <n v="0.91000000000000014"/>
  </r>
  <r>
    <x v="2"/>
    <x v="3"/>
    <x v="16"/>
    <n v="0.91"/>
    <n v="0.94"/>
    <n v="0.93"/>
    <n v="0.94"/>
    <n v="0.92699999999999994"/>
    <n v="1"/>
    <n v="0.93099999999999994"/>
    <n v="0.92999999999999994"/>
  </r>
  <r>
    <x v="2"/>
    <x v="4"/>
    <x v="16"/>
    <n v="0.93"/>
    <n v="0.93500000000000005"/>
    <n v="0.9"/>
    <n v="0.92"/>
    <n v="0.92800000000000005"/>
    <n v="1"/>
    <n v="0.91730000000000012"/>
    <n v="0.91700000000000015"/>
  </r>
  <r>
    <x v="2"/>
    <x v="5"/>
    <x v="16"/>
    <n v="0.9"/>
    <n v="0.94099999999999995"/>
    <n v="0.94"/>
    <n v="0.91600000000000004"/>
    <n v="0.92200000000000004"/>
    <n v="1"/>
    <n v="0.92625999999999997"/>
    <n v="0.9274"/>
  </r>
  <r>
    <x v="2"/>
    <x v="6"/>
    <x v="16"/>
    <n v="0.94"/>
    <n v="0.9"/>
    <n v="0.93"/>
    <n v="0.91200000000000003"/>
    <n v="0.92019999999999991"/>
    <n v="1"/>
    <n v="0.92135999999999996"/>
    <n v="0.9224"/>
  </r>
  <r>
    <x v="2"/>
    <x v="7"/>
    <x v="16"/>
    <n v="0.91"/>
    <n v="0.92614285714285705"/>
    <n v="0.9"/>
    <n v="0.91"/>
    <n v="0.91545714285714286"/>
    <n v="1"/>
    <n v="0.90930571428571449"/>
    <n v="0.90922857142857161"/>
  </r>
  <r>
    <x v="2"/>
    <x v="0"/>
    <x v="17"/>
    <n v="0.02"/>
    <n v="2.1000000000000001E-2"/>
    <n v="2.1000000000000001E-2"/>
    <n v="1.9699999999999999E-2"/>
    <n v="1.9295E-2"/>
    <n v="1.634E-2"/>
    <n v="2.0456000000000002E-2"/>
    <n v="2.0540000000000003E-2"/>
  </r>
  <r>
    <x v="2"/>
    <x v="1"/>
    <x v="17"/>
    <n v="2.0500000000000001E-2"/>
    <n v="2.01E-2"/>
    <n v="2.0899999999999998E-2"/>
    <n v="2.12E-2"/>
    <n v="1.9720000000000001E-2"/>
    <n v="1.6539999999999999E-2"/>
    <n v="2.0768000000000002E-2"/>
    <n v="2.0720000000000002E-2"/>
  </r>
  <r>
    <x v="2"/>
    <x v="2"/>
    <x v="17"/>
    <n v="2.1000000000000001E-2"/>
    <n v="1.9199999999999998E-2"/>
    <n v="2.06E-2"/>
    <n v="2.0299999999999999E-2"/>
    <n v="1.9265000000000001E-2"/>
    <n v="1.6220000000000002E-2"/>
    <n v="2.0336000000000003E-2"/>
    <n v="2.0340000000000004E-2"/>
  </r>
  <r>
    <x v="2"/>
    <x v="3"/>
    <x v="17"/>
    <n v="2.0799999999999999E-2"/>
    <n v="1.9800000000000002E-2"/>
    <n v="2.04333333333333E-2"/>
    <n v="2.1000000000000001E-2"/>
    <n v="1.955666666666666E-2"/>
    <n v="1.640666666666666E-2"/>
    <n v="2.0543999999999989E-2"/>
    <n v="2.0493333333333322E-2"/>
  </r>
  <r>
    <x v="2"/>
    <x v="4"/>
    <x v="17"/>
    <n v="3.0599999999999999E-2"/>
    <n v="2.0199999999999999E-2"/>
    <n v="2.0233333333333301E-2"/>
    <n v="2.07E-2"/>
    <n v="2.1451666666666661E-2"/>
    <n v="1.834666666666666E-2"/>
    <n v="2.222399999999999E-2"/>
    <n v="2.2393333333333324E-2"/>
  </r>
  <r>
    <x v="2"/>
    <x v="5"/>
    <x v="17"/>
    <n v="0.02"/>
    <n v="1.9800000000000002E-2"/>
    <n v="1.9599999999999999E-2"/>
    <n v="2.0400000000000001E-2"/>
    <n v="1.9020000000000002E-2"/>
    <n v="1.5960000000000002E-2"/>
    <n v="1.9932000000000002E-2"/>
    <n v="1.9880000000000002E-2"/>
  </r>
  <r>
    <x v="2"/>
    <x v="6"/>
    <x v="17"/>
    <n v="2.86E-2"/>
    <n v="1.95066666666667E-2"/>
    <n v="2.1100000000000001E-2"/>
    <n v="2.0820000000000002E-2"/>
    <n v="2.1128333333333339E-2"/>
    <n v="1.8005333333333342E-2"/>
    <n v="2.2084800000000005E-2"/>
    <n v="2.222533333333334E-2"/>
  </r>
  <r>
    <x v="2"/>
    <x v="7"/>
    <x v="17"/>
    <n v="2.0199999999999999E-2"/>
    <n v="1.9900000000000001E-2"/>
    <n v="1.9800000000000002E-2"/>
    <n v="2.1000000000000001E-2"/>
    <n v="1.933E-2"/>
    <n v="1.618E-2"/>
    <n v="2.0226000000000004E-2"/>
    <n v="2.0140000000000005E-2"/>
  </r>
  <r>
    <x v="2"/>
    <x v="0"/>
    <x v="18"/>
    <n v="1.8700000000000001E-2"/>
    <n v="2.0299999999999901E-2"/>
    <n v="1.89E-2"/>
    <n v="1.9699999999999999E-2"/>
    <n v="1.8474999999999981E-2"/>
    <n v="1.5519999999999982E-2"/>
    <n v="1.9339999999999982E-2"/>
    <n v="1.929999999999998E-2"/>
  </r>
  <r>
    <x v="2"/>
    <x v="1"/>
    <x v="18"/>
    <n v="2.0199999999999899E-2"/>
    <n v="1.9099999999999999E-2"/>
    <n v="2.0299999999999901E-2"/>
    <n v="2.0966666666666502E-2"/>
    <n v="1.9258333333333235E-2"/>
    <n v="1.6113333333333261E-2"/>
    <n v="2.0252666666666565E-2"/>
    <n v="2.0173333333333238E-2"/>
  </r>
  <r>
    <x v="2"/>
    <x v="2"/>
    <x v="18"/>
    <n v="1.9800000000000002E-2"/>
    <n v="1.9599999999999999E-2"/>
    <n v="2.1699999999999799E-2"/>
    <n v="2.0399999999999901E-2"/>
    <n v="1.9359999999999926E-2"/>
    <n v="1.6299999999999943E-2"/>
    <n v="2.0615999999999902E-2"/>
    <n v="2.0639999999999901E-2"/>
  </r>
  <r>
    <x v="2"/>
    <x v="3"/>
    <x v="18"/>
    <n v="2.0666666666666601E-2"/>
    <n v="1.8966666666666701E-2"/>
    <n v="2.04999999999999E-2"/>
    <n v="2.05999999999999E-2"/>
    <n v="1.9236666666666607E-2"/>
    <n v="1.6146666666666622E-2"/>
    <n v="2.0281999999999932E-2"/>
    <n v="2.0246666666666604E-2"/>
  </r>
  <r>
    <x v="2"/>
    <x v="4"/>
    <x v="18"/>
    <n v="2.1216666666666599E-2"/>
    <n v="1.9E-2"/>
    <n v="1.9800000000000002E-2"/>
    <n v="2.0699999999999899E-2"/>
    <n v="1.9248333333333284E-2"/>
    <n v="1.6143333333333301E-2"/>
    <n v="2.0162999999999962E-2"/>
    <n v="2.0103333333333303E-2"/>
  </r>
  <r>
    <x v="2"/>
    <x v="5"/>
    <x v="18"/>
    <n v="1.95E-2"/>
    <n v="2.0099999999999899E-2"/>
    <n v="1.9900000000000001E-2"/>
    <n v="1.9199999999999998E-2"/>
    <n v="1.861999999999998E-2"/>
    <n v="1.573999999999998E-2"/>
    <n v="1.9667999999999984E-2"/>
    <n v="1.9719999999999981E-2"/>
  </r>
  <r>
    <x v="2"/>
    <x v="6"/>
    <x v="18"/>
    <n v="2.0799999999999898E-2"/>
    <n v="1.9300000000000001E-2"/>
    <n v="1.8799999999999997E-2"/>
    <n v="1.9349999999999999E-2"/>
    <n v="1.8552499999999979E-2"/>
    <n v="1.564999999999998E-2"/>
    <n v="1.940399999999998E-2"/>
    <n v="1.9409999999999979E-2"/>
  </r>
  <r>
    <x v="2"/>
    <x v="7"/>
    <x v="18"/>
    <n v="1.9800000000000002E-2"/>
    <n v="1.9800000000000002E-2"/>
    <n v="0.02"/>
    <n v="1.9400000000000001E-2"/>
    <n v="1.8710000000000001E-2"/>
    <n v="1.5800000000000002E-2"/>
    <n v="1.9760000000000003E-2"/>
    <n v="1.9800000000000005E-2"/>
  </r>
  <r>
    <x v="2"/>
    <x v="0"/>
    <x v="19"/>
    <n v="0.96"/>
    <n v="0.97128205031101178"/>
    <n v="0.99893333317704225"/>
    <n v="0.99583520424681726"/>
    <n v="0.97198967386679069"/>
    <n v="1"/>
    <n v="0.98608062618882619"/>
    <n v="0.98499678418238268"/>
  </r>
  <r>
    <x v="2"/>
    <x v="1"/>
    <x v="19"/>
    <n v="0.99771428571428566"/>
    <n v="0.99780219775442436"/>
    <n v="0.99838095197427645"/>
    <n v="0.99918367333757208"/>
    <n v="0.99796305591866885"/>
    <n v="1"/>
    <n v="0.9983815382696275"/>
    <n v="0.99829241215096698"/>
  </r>
  <r>
    <x v="2"/>
    <x v="2"/>
    <x v="19"/>
    <n v="0.92500003296765598"/>
    <n v="0.98333336630099"/>
    <n v="0.97"/>
    <n v="0.92500000000000004"/>
    <n v="0.95283335970745853"/>
    <n v="1"/>
    <n v="0.9517000118683564"/>
    <n v="0.95466667985372933"/>
  </r>
  <r>
    <x v="2"/>
    <x v="3"/>
    <x v="19"/>
    <n v="0.96"/>
    <n v="0.97"/>
    <n v="0.97"/>
    <n v="0.97"/>
    <n v="0.96599999999999997"/>
    <n v="1"/>
    <n v="0.96819999999999995"/>
    <n v="0.96799999999999997"/>
  </r>
  <r>
    <x v="2"/>
    <x v="4"/>
    <x v="19"/>
    <n v="0.91625012362870994"/>
    <n v="0.98750032967655998"/>
    <n v="0.97750000000000004"/>
    <n v="0.94374999999999998"/>
    <n v="0.95362518132210805"/>
    <n v="1"/>
    <n v="0.95882508159494861"/>
    <n v="0.96050009066105402"/>
  </r>
  <r>
    <x v="2"/>
    <x v="5"/>
    <x v="19"/>
    <n v="0.98560000000000003"/>
    <n v="0.9653846153846154"/>
    <n v="0.98980000000000001"/>
    <n v="0.99485714285714288"/>
    <n v="0.97885956043956057"/>
    <n v="1"/>
    <n v="0.9860652307692308"/>
    <n v="0.98508835164835173"/>
  </r>
  <r>
    <x v="2"/>
    <x v="6"/>
    <x v="19"/>
    <n v="0.95294117647058818"/>
    <n v="0.92352941176470593"/>
    <n v="0.91176470588235292"/>
    <n v="0.91764705882352948"/>
    <n v="0.93352941176470594"/>
    <n v="1"/>
    <n v="0.92294117647058826"/>
    <n v="0.92352941176470593"/>
  </r>
  <r>
    <x v="2"/>
    <x v="7"/>
    <x v="19"/>
    <n v="0.96174999999999999"/>
    <n v="0.93625000000000003"/>
    <n v="0.97"/>
    <n v="0.97021921733026162"/>
    <n v="0.95322192173302622"/>
    <n v="1"/>
    <n v="0.96250138085247328"/>
    <n v="0.96164384346605236"/>
  </r>
  <r>
    <x v="2"/>
    <x v="0"/>
    <x v="20"/>
    <n v="1.6E-2"/>
    <n v="6.5641027860544445E-4"/>
    <n v="1.0400001172183501E-2"/>
    <n v="1.665918301273106E-3"/>
    <n v="5.9943536956033796E-3"/>
    <n v="5.74446595041241E-3"/>
    <n v="7.2086113964915099E-3"/>
    <n v="7.8244661848491104E-3"/>
  </r>
  <r>
    <x v="2"/>
    <x v="1"/>
    <x v="20"/>
    <n v="1.9285711459915193E-2"/>
    <n v="3.164835233628923E-4"/>
    <n v="7.6190495328167993E-4"/>
    <n v="3.122449483786975E-4"/>
    <n v="7.9482929834772727E-3"/>
    <n v="4.1352689769876931E-3"/>
    <n v="3.8901094657174959E-3"/>
    <n v="4.2876499676440293E-3"/>
  </r>
  <r>
    <x v="2"/>
    <x v="2"/>
    <x v="20"/>
    <n v="3.7330375914797514E-2"/>
    <n v="4.4444444444444453E-2"/>
    <n v="6.0665981818557459E-2"/>
    <n v="3.0000000000000002E-2"/>
    <n v="4.1776526325552538E-2"/>
    <n v="3.4488160435559884E-2"/>
    <n v="4.4959221119344243E-2"/>
    <n v="4.6621356799271381E-2"/>
  </r>
  <r>
    <x v="2"/>
    <x v="3"/>
    <x v="20"/>
    <n v="1.679592185698455E-3"/>
    <n v="1.9999999999999997E-2"/>
    <n v="1.7333333333333336E-2"/>
    <n v="6.7999999999999996E-3"/>
    <n v="1.1085170207612714E-2"/>
    <n v="9.1625851038063567E-3"/>
    <n v="1.2046326593425723E-2"/>
    <n v="1.2629251770473025E-2"/>
  </r>
  <r>
    <x v="2"/>
    <x v="4"/>
    <x v="20"/>
    <n v="1.1999999999999999E-2"/>
    <n v="2.8333333333333335E-2"/>
    <n v="8.9999999999999976E-3"/>
    <n v="2.2499999999999996E-2"/>
    <n v="1.9283333333333329E-2"/>
    <n v="1.4366666666666666E-2"/>
    <n v="1.6799999999999999E-2"/>
    <n v="1.6166666666666666E-2"/>
  </r>
  <r>
    <x v="2"/>
    <x v="5"/>
    <x v="20"/>
    <n v="4.3200000000000001E-3"/>
    <n v="4.7076923076923068E-3"/>
    <n v="1.1999999999999999E-2"/>
    <n v="2.0571428571428576E-3"/>
    <n v="5.0167912087912088E-3"/>
    <n v="4.6169670329670323E-3"/>
    <n v="6.5209846153846153E-3"/>
    <n v="7.0169670329670326E-3"/>
  </r>
  <r>
    <x v="2"/>
    <x v="6"/>
    <x v="20"/>
    <n v="2.8235294117647056E-2"/>
    <n v="1.2549019607843138E-2"/>
    <n v="2.1176470588235293E-2"/>
    <n v="2.1176470588235293E-2"/>
    <n v="2.0549019607843139E-2"/>
    <n v="1.6627450980392158E-2"/>
    <n v="2.0894117647058827E-2"/>
    <n v="2.0862745098039218E-2"/>
  </r>
  <r>
    <x v="2"/>
    <x v="7"/>
    <x v="20"/>
    <n v="2.6999999999999996E-2"/>
    <n v="1.1999999999999999E-2"/>
    <n v="6.9999999999999979E-2"/>
    <n v="1.1912313067895348E-2"/>
    <n v="2.3791231306789534E-2"/>
    <n v="2.4182462613579064E-2"/>
    <n v="3.555544765901069E-2"/>
    <n v="3.8182462613579063E-2"/>
  </r>
  <r>
    <x v="2"/>
    <x v="0"/>
    <x v="21"/>
    <n v="0.98"/>
    <n v="0.90714285714285703"/>
    <n v="0.9"/>
    <s v="Ya no terceriza"/>
    <s v="Ya no terceriza"/>
    <s v="Ya no terceriza"/>
    <s v="Ya no terceriza"/>
    <s v="Ya no terceriza"/>
  </r>
  <r>
    <x v="2"/>
    <x v="1"/>
    <x v="21"/>
    <n v="0.95"/>
    <n v="0.89"/>
    <n v="0.93"/>
    <n v="0.92"/>
    <n v="0.92099999999999993"/>
    <n v="1"/>
    <n v="0.92360000000000009"/>
    <n v="0.92400000000000004"/>
  </r>
  <r>
    <x v="2"/>
    <x v="2"/>
    <x v="21"/>
    <n v="0.96"/>
    <n v="0.91"/>
    <n v="0.97"/>
    <n v="0.98"/>
    <n v="0.94299999999999995"/>
    <n v="1"/>
    <n v="0.96019999999999994"/>
    <n v="0.95799999999999996"/>
  </r>
  <r>
    <x v="2"/>
    <x v="3"/>
    <x v="21"/>
    <n v="0.94"/>
    <n v="0.93"/>
    <n v="0.89971428571428602"/>
    <n v="0.93"/>
    <n v="0.93097142857142856"/>
    <n v="1"/>
    <n v="0.92089714285714308"/>
    <n v="0.91988571428571453"/>
  </r>
  <r>
    <x v="2"/>
    <x v="4"/>
    <x v="21"/>
    <n v="0.95"/>
    <n v="0.95"/>
    <n v="0.95"/>
    <n v="0.88"/>
    <n v="0.94299999999999995"/>
    <n v="1"/>
    <n v="0.9304"/>
    <n v="0.93600000000000005"/>
  </r>
  <r>
    <x v="2"/>
    <x v="5"/>
    <x v="21"/>
    <n v="0.92"/>
    <n v="0.97"/>
    <n v="0.95085714285714296"/>
    <n v="0.95"/>
    <n v="0.94608571428571431"/>
    <n v="1"/>
    <n v="0.94850857142857148"/>
    <n v="0.94834285714285715"/>
  </r>
  <r>
    <x v="2"/>
    <x v="6"/>
    <x v="21"/>
    <n v="0.91800000000000004"/>
    <n v="0.91"/>
    <n v="0.95782857142857103"/>
    <n v="0.92"/>
    <n v="0.91898285714285721"/>
    <n v="1"/>
    <n v="0.93145828571428568"/>
    <n v="0.93273142857142854"/>
  </r>
  <r>
    <x v="2"/>
    <x v="7"/>
    <x v="21"/>
    <n v="0.90885714285714303"/>
    <n v="0.92"/>
    <n v="0.96479999999999999"/>
    <n v="0.91600000000000004"/>
    <n v="0.9196228571428573"/>
    <n v="1"/>
    <n v="0.93300228571428589"/>
    <n v="0.93489142857142871"/>
  </r>
  <r>
    <x v="2"/>
    <x v="0"/>
    <x v="22"/>
    <n v="0.98129999999999995"/>
    <n v="0.97970000000000013"/>
    <n v="0.98109999999999997"/>
    <n v="0.98029999999999995"/>
    <n v="0.98053999999999997"/>
    <n v="1"/>
    <n v="0.98065999999999998"/>
    <n v="0.98070000000000002"/>
  </r>
  <r>
    <x v="2"/>
    <x v="1"/>
    <x v="22"/>
    <n v="0.97980000000000012"/>
    <n v="0.98089999999999999"/>
    <n v="0.97970000000000013"/>
    <n v="0.97903333333333353"/>
    <n v="0.98015333333333343"/>
    <n v="1"/>
    <n v="0.97974733333333353"/>
    <n v="0.97982666666666685"/>
  </r>
  <r>
    <x v="2"/>
    <x v="2"/>
    <x v="22"/>
    <n v="0.98019999999999996"/>
    <n v="0.98040000000000005"/>
    <n v="0.97830000000000017"/>
    <n v="0.97960000000000014"/>
    <n v="0.98003000000000018"/>
    <n v="1"/>
    <n v="0.97938400000000025"/>
    <n v="0.97936000000000023"/>
  </r>
  <r>
    <x v="2"/>
    <x v="3"/>
    <x v="22"/>
    <n v="0.97933333333333339"/>
    <n v="0.98103333333333331"/>
    <n v="0.97950000000000015"/>
    <n v="0.97940000000000005"/>
    <n v="0.98003666666666678"/>
    <n v="1"/>
    <n v="0.97971800000000009"/>
    <n v="0.97975333333333348"/>
  </r>
  <r>
    <x v="2"/>
    <x v="4"/>
    <x v="22"/>
    <n v="0.97878333333333345"/>
    <n v="0.98099999999999998"/>
    <n v="0.98019999999999996"/>
    <n v="0.97930000000000006"/>
    <n v="0.97986333333333353"/>
    <n v="1"/>
    <n v="0.97983700000000007"/>
    <n v="0.97989666666666675"/>
  </r>
  <r>
    <x v="2"/>
    <x v="5"/>
    <x v="22"/>
    <n v="0.98050000000000004"/>
    <n v="0.9799000000000001"/>
    <n v="0.98009999999999997"/>
    <n v="0.98080000000000001"/>
    <n v="0.98025000000000029"/>
    <n v="1"/>
    <n v="0.98033200000000009"/>
    <n v="0.98028000000000015"/>
  </r>
  <r>
    <x v="2"/>
    <x v="6"/>
    <x v="22"/>
    <n v="0.97920000000000007"/>
    <n v="0.98070000000000002"/>
    <n v="0.98119999999999996"/>
    <n v="0.98065000000000002"/>
    <n v="0.98014500000000004"/>
    <n v="1"/>
    <n v="0.98059600000000002"/>
    <n v="0.98058999999999996"/>
  </r>
  <r>
    <x v="2"/>
    <x v="7"/>
    <x v="22"/>
    <n v="0.98019999999999996"/>
    <n v="0.98019999999999996"/>
    <n v="0.98"/>
    <n v="0.98060000000000003"/>
    <n v="0.98021999999999998"/>
    <n v="1"/>
    <n v="0.98024"/>
    <n v="0.98019999999999996"/>
  </r>
  <r>
    <x v="2"/>
    <x v="0"/>
    <x v="23"/>
    <n v="0.30769230769230771"/>
    <n v="0.30769230769230771"/>
    <n v="0.30769230769230771"/>
    <n v="0.30769230769230771"/>
    <n v="0.30769230769230771"/>
    <n v="0.4"/>
    <n v="0.30769230769230771"/>
    <n v="0.30769230769230771"/>
  </r>
  <r>
    <x v="2"/>
    <x v="1"/>
    <x v="23"/>
    <n v="0.13068181818181818"/>
    <n v="0.13068181818181818"/>
    <n v="0.13068181818181818"/>
    <n v="0.13068181818181818"/>
    <n v="0.13068181818181818"/>
    <n v="0.16988636363636361"/>
    <n v="0.13068181818181818"/>
    <n v="0.13068181818181818"/>
  </r>
  <r>
    <x v="2"/>
    <x v="2"/>
    <x v="23"/>
    <n v="0.36585365853658536"/>
    <n v="0.36585365853658536"/>
    <n v="0.36585365853658536"/>
    <n v="0.36585365853658536"/>
    <n v="0.3658536585365853"/>
    <n v="0.47560975609756095"/>
    <n v="0.36585365853658536"/>
    <n v="0.36585365853658536"/>
  </r>
  <r>
    <x v="2"/>
    <x v="3"/>
    <x v="23"/>
    <n v="0.30056179775280845"/>
    <n v="0.30056179775280845"/>
    <n v="0.30056179775280845"/>
    <n v="0.30056179775280845"/>
    <n v="0.30056179775280845"/>
    <n v="0.39073033707865101"/>
    <n v="0.30056179775280845"/>
    <n v="0.30056179775280845"/>
  </r>
  <r>
    <x v="2"/>
    <x v="4"/>
    <x v="23"/>
    <n v="0.33442088091353922"/>
    <n v="0.33442088091353922"/>
    <n v="0.33442088091353922"/>
    <n v="0.33442088091353922"/>
    <n v="0.33442088091353922"/>
    <n v="0.43474714518760105"/>
    <n v="0.33442088091353922"/>
    <n v="0.33442088091353922"/>
  </r>
  <r>
    <x v="2"/>
    <x v="5"/>
    <x v="23"/>
    <n v="0.31724137931034485"/>
    <n v="0.31724137931034485"/>
    <n v="0.31724137931034485"/>
    <n v="0.31724137931034485"/>
    <n v="0.3172413793103448"/>
    <n v="0.41241379310344828"/>
    <n v="0.31724137931034485"/>
    <n v="0.31724137931034485"/>
  </r>
  <r>
    <x v="2"/>
    <x v="6"/>
    <x v="23"/>
    <n v="0.45060240963855447"/>
    <n v="0.45060240963855447"/>
    <n v="0.45060240963855447"/>
    <n v="0.45060240963855447"/>
    <n v="0.45060240963855452"/>
    <n v="0.58578313253012082"/>
    <n v="0.45060240963855447"/>
    <n v="0.45060240963855447"/>
  </r>
  <r>
    <x v="2"/>
    <x v="7"/>
    <x v="23"/>
    <n v="0.45304878048780395"/>
    <n v="0.45304878048780395"/>
    <n v="0.45304878048780395"/>
    <n v="0.45304878048780395"/>
    <n v="0.453048780487804"/>
    <n v="0.58896341463414514"/>
    <n v="0.45304878048780395"/>
    <n v="0.45304878048780395"/>
  </r>
  <r>
    <x v="3"/>
    <x v="0"/>
    <x v="24"/>
    <n v="22749579"/>
    <n v="29574440"/>
    <n v="34124350"/>
    <n v="21849398"/>
    <n v="26526982.400000002"/>
    <n v="34399315.100000001"/>
    <n v="27820920.860000003"/>
    <n v="28484423.400000002"/>
  </r>
  <r>
    <x v="3"/>
    <x v="1"/>
    <x v="24"/>
    <n v="21232932"/>
    <n v="27602811"/>
    <n v="31849390"/>
    <n v="29726100"/>
    <n v="25691846.200000003"/>
    <n v="33972688.399999999"/>
    <n v="28579522.140000001"/>
    <n v="28452124.600000001"/>
  </r>
  <r>
    <x v="3"/>
    <x v="2"/>
    <x v="24"/>
    <n v="909982.79999999993"/>
    <n v="545989.67999999993"/>
    <n v="545989.67999999993"/>
    <n v="545989.67999999993"/>
    <n v="691586.92799999996"/>
    <n v="891783.14399999985"/>
    <n v="611508.44160000002"/>
    <n v="618788.304"/>
  </r>
  <r>
    <x v="3"/>
    <x v="3"/>
    <x v="24"/>
    <n v="2274957"/>
    <n v="1364974.2"/>
    <n v="1364974.2"/>
    <n v="1364974.2"/>
    <n v="1728967.3199999998"/>
    <n v="2229457.8600000003"/>
    <n v="1528771.1040000001"/>
    <n v="1546970.76"/>
  </r>
  <r>
    <x v="3"/>
    <x v="4"/>
    <x v="24"/>
    <n v="1213310.4000000001"/>
    <n v="727986.24000000011"/>
    <n v="727986.24000000011"/>
    <n v="727986.24000000011"/>
    <n v="922115.90400000033"/>
    <n v="1189044.1920000003"/>
    <n v="815344.58880000014"/>
    <n v="825051.07200000016"/>
  </r>
  <r>
    <x v="3"/>
    <x v="5"/>
    <x v="24"/>
    <n v="1516638"/>
    <n v="1971629.4000000001"/>
    <n v="2274957"/>
    <n v="2123293.1999999997"/>
    <n v="1835131.9800000002"/>
    <n v="2426620.8000000003"/>
    <n v="2041394.7480000001"/>
    <n v="2032294.9200000002"/>
  </r>
  <r>
    <x v="3"/>
    <x v="6"/>
    <x v="24"/>
    <n v="1289142.3"/>
    <n v="773485.38"/>
    <n v="773485.38"/>
    <n v="773485.38"/>
    <n v="979748.14800000004"/>
    <n v="1263359.4539999999"/>
    <n v="866303.62560000003"/>
    <n v="876616.76400000008"/>
  </r>
  <r>
    <x v="3"/>
    <x v="7"/>
    <x v="24"/>
    <n v="606655.20000000007"/>
    <n v="363993.12000000005"/>
    <n v="363993.12000000005"/>
    <n v="363993.12000000005"/>
    <n v="461057.95200000016"/>
    <n v="594522.09600000014"/>
    <n v="407672.29440000007"/>
    <n v="412525.53600000008"/>
  </r>
  <r>
    <x v="3"/>
    <x v="0"/>
    <x v="25"/>
    <n v="76085.548494983275"/>
    <n v="98911.17056856188"/>
    <n v="114128.26086956522"/>
    <n v="73074.909698996649"/>
    <n v="88719.004682274259"/>
    <n v="115047.87658862876"/>
    <n v="93046.558060200667"/>
    <n v="95265.630100334442"/>
  </r>
  <r>
    <x v="3"/>
    <x v="1"/>
    <x v="25"/>
    <n v="71013.150501672237"/>
    <n v="92317.093645484943"/>
    <n v="106519.69899665551"/>
    <n v="99418.394648829431"/>
    <n v="85925.907023411375"/>
    <n v="113621.03143812707"/>
    <n v="95583.686086956513"/>
    <n v="95157.607357859524"/>
  </r>
  <r>
    <x v="3"/>
    <x v="2"/>
    <x v="25"/>
    <n v="3043.4207357859527"/>
    <n v="1826.0524414715717"/>
    <n v="1826.0524414715717"/>
    <n v="1826.0524414715717"/>
    <n v="2312.9997591973238"/>
    <n v="2982.552321070234"/>
    <n v="2045.1787344481604"/>
    <n v="2069.5261003344481"/>
  </r>
  <r>
    <x v="3"/>
    <x v="3"/>
    <x v="25"/>
    <n v="7608.5518394648825"/>
    <n v="4565.1311036789293"/>
    <n v="4565.1311036789293"/>
    <n v="4565.1311036789293"/>
    <n v="5782.4993979933115"/>
    <n v="7456.3808026755851"/>
    <n v="5112.9468361204008"/>
    <n v="5173.81525083612"/>
  </r>
  <r>
    <x v="3"/>
    <x v="4"/>
    <x v="25"/>
    <n v="4057.8943143812712"/>
    <n v="2434.736588628763"/>
    <n v="2434.736588628763"/>
    <n v="2434.736588628763"/>
    <n v="3083.9996789297661"/>
    <n v="3976.7364280936463"/>
    <n v="2726.9049792642149"/>
    <n v="2759.368133779265"/>
  </r>
  <r>
    <x v="3"/>
    <x v="5"/>
    <x v="25"/>
    <n v="5072.3678929765883"/>
    <n v="6594.0782608695654"/>
    <n v="7608.5518394648825"/>
    <n v="7101.3150501672235"/>
    <n v="6137.5651505016722"/>
    <n v="8115.7886287625406"/>
    <n v="6827.4071839464877"/>
    <n v="6796.9729765886286"/>
  </r>
  <r>
    <x v="3"/>
    <x v="6"/>
    <x v="25"/>
    <n v="4311.5127090301003"/>
    <n v="2586.9076254180604"/>
    <n v="2586.9076254180604"/>
    <n v="2586.9076254180604"/>
    <n v="3276.7496588628769"/>
    <n v="4225.2824548494991"/>
    <n v="2897.3365404682281"/>
    <n v="2931.8286421404691"/>
  </r>
  <r>
    <x v="3"/>
    <x v="7"/>
    <x v="25"/>
    <n v="2028.9471571906356"/>
    <n v="1217.3682943143815"/>
    <n v="1217.3682943143815"/>
    <n v="1217.3682943143815"/>
    <n v="1541.9998394648831"/>
    <n v="1988.3682140468231"/>
    <n v="1363.4524896321075"/>
    <n v="1379.6840668896325"/>
  </r>
  <r>
    <x v="3"/>
    <x v="0"/>
    <x v="26"/>
    <n v="15924705.299999999"/>
    <n v="20702108"/>
    <n v="23887045"/>
    <n v="15294578.6"/>
    <n v="18568887.68"/>
    <n v="24079520.57"/>
    <n v="19474644.601999998"/>
    <n v="19939096.379999999"/>
  </r>
  <r>
    <x v="3"/>
    <x v="1"/>
    <x v="26"/>
    <n v="14863052.399999999"/>
    <n v="19321967.699999999"/>
    <n v="22294573"/>
    <n v="20808270"/>
    <n v="17984292.34"/>
    <n v="23780881.879999999"/>
    <n v="20005665.498"/>
    <n v="19916487.219999999"/>
  </r>
  <r>
    <x v="3"/>
    <x v="2"/>
    <x v="26"/>
    <n v="636987.96"/>
    <n v="382192.77599999995"/>
    <n v="382192.77599999995"/>
    <n v="382192.77599999995"/>
    <n v="484110.84959999996"/>
    <n v="624248.20079999988"/>
    <n v="428055.90912000003"/>
    <n v="433151.81280000001"/>
  </r>
  <r>
    <x v="3"/>
    <x v="3"/>
    <x v="26"/>
    <n v="1592469.9"/>
    <n v="955481.94"/>
    <n v="955481.94"/>
    <n v="955481.94"/>
    <n v="1210277.1239999998"/>
    <n v="1560620.5020000001"/>
    <n v="1070139.7728000002"/>
    <n v="1082879.5320000001"/>
  </r>
  <r>
    <x v="3"/>
    <x v="4"/>
    <x v="26"/>
    <n v="849317.28"/>
    <n v="509590.36800000002"/>
    <n v="509590.36800000002"/>
    <n v="509590.36800000002"/>
    <n v="645481.13280000002"/>
    <n v="832330.93440000003"/>
    <n v="570741.21216"/>
    <n v="577535.75040000002"/>
  </r>
  <r>
    <x v="3"/>
    <x v="5"/>
    <x v="26"/>
    <n v="1061646.5999999999"/>
    <n v="1380140.58"/>
    <n v="1592469.9"/>
    <n v="1486305.2399999998"/>
    <n v="1284592.3859999999"/>
    <n v="1698634.56"/>
    <n v="1428976.3235999998"/>
    <n v="1422606.4439999999"/>
  </r>
  <r>
    <x v="3"/>
    <x v="6"/>
    <x v="26"/>
    <n v="902399.61"/>
    <n v="541439.76599999995"/>
    <n v="541439.76599999995"/>
    <n v="541439.76599999995"/>
    <n v="685823.70359999989"/>
    <n v="884351.61779999989"/>
    <n v="606412.53792000003"/>
    <n v="613631.73479999998"/>
  </r>
  <r>
    <x v="3"/>
    <x v="7"/>
    <x v="26"/>
    <n v="424658.64"/>
    <n v="254795.18400000001"/>
    <n v="254795.18400000001"/>
    <n v="254795.18400000001"/>
    <n v="322740.56640000001"/>
    <n v="416165.46720000001"/>
    <n v="285370.60608"/>
    <n v="288767.87520000001"/>
  </r>
  <r>
    <x v="3"/>
    <x v="0"/>
    <x v="27"/>
    <n v="4.3478260869565215"/>
    <n v="4.7619047619047619"/>
    <n v="4.166666666666667"/>
    <n v="4.5454545454545459"/>
    <n v="4.5151044607566355"/>
    <n v="3.5643704121964994"/>
    <n v="4.4124788255223049"/>
    <n v="4.3977037455298333"/>
  </r>
  <r>
    <x v="3"/>
    <x v="1"/>
    <x v="27"/>
    <n v="5.2631578947368425"/>
    <n v="5"/>
    <n v="4.7619047619047628"/>
    <n v="5.5555555555555554"/>
    <n v="5.1370091896407688"/>
    <n v="4.1161236424394323"/>
    <n v="5.117209690893902"/>
    <n v="5.0685045948203848"/>
  </r>
  <r>
    <x v="3"/>
    <x v="2"/>
    <x v="27"/>
    <n v="5.5555555555555554"/>
    <n v="4.7619047619047619"/>
    <n v="5"/>
    <n v="5.2631578947368416"/>
    <n v="5.1532999164578115"/>
    <n v="4.1161236424394323"/>
    <n v="5.1308270676691725"/>
    <n v="5.1161236424394314"/>
  </r>
  <r>
    <x v="3"/>
    <x v="3"/>
    <x v="27"/>
    <n v="5.2631578947368416"/>
    <n v="5"/>
    <n v="4.7619047619047619"/>
    <n v="5.5555555555555554"/>
    <n v="5.1370091896407679"/>
    <n v="4.1161236424394314"/>
    <n v="5.1172096908939011"/>
    <n v="5.068504594820384"/>
  </r>
  <r>
    <x v="3"/>
    <x v="4"/>
    <x v="27"/>
    <n v="5"/>
    <n v="4.7619047619047628"/>
    <n v="5"/>
    <n v="5.2631578947368425"/>
    <n v="4.9310776942355892"/>
    <n v="4.0050125313283207"/>
    <n v="5.0308270676691729"/>
    <n v="5.0050125313283207"/>
  </r>
  <r>
    <x v="3"/>
    <x v="5"/>
    <x v="27"/>
    <n v="4.3478260869565215"/>
    <n v="4.7619047619047619"/>
    <n v="4.166666666666667"/>
    <n v="4.5454545454545459"/>
    <n v="4.5151044607566355"/>
    <n v="3.5643704121964994"/>
    <n v="4.4124788255223049"/>
    <n v="4.3977037455298333"/>
  </r>
  <r>
    <x v="3"/>
    <x v="6"/>
    <x v="27"/>
    <n v="5.2631578947368416"/>
    <n v="4.9999999999999991"/>
    <n v="4.7619047619047619"/>
    <n v="5.5555555555555562"/>
    <n v="5.1370091896407679"/>
    <n v="4.1161236424394323"/>
    <n v="5.117209690893902"/>
    <n v="5.0685045948203848"/>
  </r>
  <r>
    <x v="3"/>
    <x v="7"/>
    <x v="27"/>
    <n v="4.3478260869565215"/>
    <n v="4.7619047619047619"/>
    <n v="4.1666666666666661"/>
    <n v="4.5454545454545459"/>
    <n v="4.5151044607566355"/>
    <n v="3.5643704121964994"/>
    <n v="4.412478825522304"/>
    <n v="4.3977037455298325"/>
  </r>
  <r>
    <x v="3"/>
    <x v="0"/>
    <x v="28"/>
    <n v="9.4347826086956523"/>
    <n v="10.802721088435375"/>
    <n v="10.944444444444445"/>
    <n v="9.0505050505050519"/>
    <n v="10.094496428347361"/>
    <n v="8.0464906384161043"/>
    <n v="10.116892079625"/>
    <n v="10.235379527304994"/>
  </r>
  <r>
    <x v="3"/>
    <x v="1"/>
    <x v="28"/>
    <n v="10.578947368421051"/>
    <n v="11.142857142857142"/>
    <n v="11.936507936507937"/>
    <n v="10.172839506172842"/>
    <n v="10.899656548779355"/>
    <n v="8.7662303907917956"/>
    <n v="11.055462730901327"/>
    <n v="11.153531978093381"/>
  </r>
  <r>
    <x v="3"/>
    <x v="2"/>
    <x v="28"/>
    <n v="10.944444444444445"/>
    <n v="10.802721088435373"/>
    <n v="12.33333333333333"/>
    <n v="9.84795321637427"/>
    <n v="10.916994868122686"/>
    <n v="8.7856904165174843"/>
    <n v="11.111916696503162"/>
    <n v="11.252357083184149"/>
  </r>
  <r>
    <x v="3"/>
    <x v="3"/>
    <x v="28"/>
    <n v="10.578947368421051"/>
    <n v="11.142857142857144"/>
    <n v="11.936507936507937"/>
    <n v="10.17283950617284"/>
    <n v="10.899656548779355"/>
    <n v="8.7662303907917956"/>
    <n v="11.055462730901327"/>
    <n v="11.153531978093381"/>
  </r>
  <r>
    <x v="3"/>
    <x v="4"/>
    <x v="28"/>
    <n v="10.25"/>
    <n v="10.802721088435376"/>
    <n v="12.33333333333333"/>
    <n v="9.84795321637427"/>
    <n v="10.639217090344911"/>
    <n v="8.6468015276285968"/>
    <n v="10.986916696503163"/>
    <n v="11.113468194295264"/>
  </r>
  <r>
    <x v="3"/>
    <x v="5"/>
    <x v="28"/>
    <n v="9.4347826086956523"/>
    <n v="10.802721088435373"/>
    <n v="10.944444444444446"/>
    <n v="11.575757575757574"/>
    <n v="10.347021680872613"/>
    <n v="8.5515411434666095"/>
    <n v="10.823962786695708"/>
    <n v="10.7404300323555"/>
  </r>
  <r>
    <x v="3"/>
    <x v="6"/>
    <x v="28"/>
    <n v="10.578947368421051"/>
    <n v="11.142857142857142"/>
    <n v="11.936507936507937"/>
    <n v="10.17283950617284"/>
    <n v="10.899656548779355"/>
    <n v="8.7662303907917956"/>
    <n v="11.055462730901327"/>
    <n v="11.153531978093381"/>
  </r>
  <r>
    <x v="3"/>
    <x v="7"/>
    <x v="28"/>
    <n v="9.4347826086956523"/>
    <n v="10.802721088435373"/>
    <n v="10.944444444444443"/>
    <n v="9.0505050505050519"/>
    <n v="10.094496428347361"/>
    <n v="8.0464906384161043"/>
    <n v="10.116892079624998"/>
    <n v="10.235379527304993"/>
  </r>
  <r>
    <x v="3"/>
    <x v="0"/>
    <x v="29"/>
    <n v="0.19047629373997496"/>
    <n v="0.24761907552817855"/>
    <n v="0.2857142857142857"/>
    <n v="0.18293931292045543"/>
    <n v="0.22210350757073555"/>
    <n v="0.28801649680820712"/>
    <n v="0.23293731694313799"/>
    <n v="0.23849265072343606"/>
  </r>
  <r>
    <x v="3"/>
    <x v="1"/>
    <x v="29"/>
    <n v="0.17777780382629998"/>
    <n v="0.23111113995054641"/>
    <n v="0.26666663875753571"/>
    <n v="0.24888888516767144"/>
    <n v="0.21511112990325928"/>
    <n v="0.28444446267841"/>
    <n v="0.23928888767949322"/>
    <n v="0.23822222129191786"/>
  </r>
  <r>
    <x v="3"/>
    <x v="2"/>
    <x v="29"/>
    <n v="7.6190487354128563E-3"/>
    <n v="4.5714292412477138E-3"/>
    <n v="4.5714292412477138E-3"/>
    <n v="4.5714292412477138E-3"/>
    <n v="5.7904770389137702E-3"/>
    <n v="7.4666677607045989E-3"/>
    <n v="5.1200007501974393E-3"/>
    <n v="5.1809531400807424E-3"/>
  </r>
  <r>
    <x v="3"/>
    <x v="3"/>
    <x v="29"/>
    <n v="1.904762183853214E-2"/>
    <n v="1.1428573103119285E-2"/>
    <n v="1.1428573103119285E-2"/>
    <n v="1.1428573103119285E-2"/>
    <n v="1.4476192597284426E-2"/>
    <n v="1.8666669401761496E-2"/>
    <n v="1.28000018754936E-2"/>
    <n v="1.2952382850201857E-2"/>
  </r>
  <r>
    <x v="3"/>
    <x v="4"/>
    <x v="29"/>
    <n v="1.0158731647217143E-2"/>
    <n v="6.0952389883302859E-3"/>
    <n v="6.0952389883302859E-3"/>
    <n v="6.0952389883302859E-3"/>
    <n v="7.7206360518850296E-3"/>
    <n v="9.9555570142728003E-3"/>
    <n v="6.8266676669299208E-3"/>
    <n v="6.9079375201076577E-3"/>
  </r>
  <r>
    <x v="3"/>
    <x v="5"/>
    <x v="29"/>
    <n v="1.2698414559021428E-2"/>
    <n v="1.6507938926727857E-2"/>
    <n v="1.904762183853214E-2"/>
    <n v="1.7777780382629997E-2"/>
    <n v="1.536508161641593E-2"/>
    <n v="2.0317463294434283E-2"/>
    <n v="1.7092065996442841E-2"/>
    <n v="1.7015875509088712E-2"/>
  </r>
  <r>
    <x v="3"/>
    <x v="6"/>
    <x v="29"/>
    <n v="1.0793652375168213E-2"/>
    <n v="6.4761914251009285E-3"/>
    <n v="6.4761914251009285E-3"/>
    <n v="6.4761914251009285E-3"/>
    <n v="8.2031758051278429E-3"/>
    <n v="1.0577779327664849E-2"/>
    <n v="7.253334396113041E-3"/>
    <n v="7.339683615114387E-3"/>
  </r>
  <r>
    <x v="3"/>
    <x v="7"/>
    <x v="29"/>
    <n v="5.0793658236085717E-3"/>
    <n v="3.0476194941651429E-3"/>
    <n v="3.0476194941651429E-3"/>
    <n v="3.0476194941651429E-3"/>
    <n v="3.8603180259425148E-3"/>
    <n v="4.9777785071364001E-3"/>
    <n v="3.4133338334649604E-3"/>
    <n v="3.4539687600538289E-3"/>
  </r>
  <r>
    <x v="3"/>
    <x v="0"/>
    <x v="30"/>
    <n v="119734.62631578947"/>
    <n v="155654.94736842104"/>
    <n v="179601.84210526315"/>
    <n v="114996.83157894737"/>
    <n v="139615.69684210527"/>
    <n v="181049.02684210526"/>
    <n v="146425.89926315789"/>
    <n v="149918.01789473684"/>
  </r>
  <r>
    <x v="3"/>
    <x v="1"/>
    <x v="30"/>
    <n v="111752.27368421052"/>
    <n v="145277.95263157896"/>
    <n v="167628.36842105264"/>
    <n v="156453.15789473685"/>
    <n v="135220.24315789473"/>
    <n v="178803.62315789476"/>
    <n v="150418.53757894738"/>
    <n v="149748.02421052632"/>
  </r>
  <r>
    <x v="3"/>
    <x v="2"/>
    <x v="30"/>
    <n v="4789.3831578947365"/>
    <n v="2873.6298947368418"/>
    <n v="2873.6298947368418"/>
    <n v="2873.6298947368418"/>
    <n v="3639.9312"/>
    <n v="4693.5954947368418"/>
    <n v="3218.4654821052632"/>
    <n v="3256.7805473684211"/>
  </r>
  <r>
    <x v="3"/>
    <x v="3"/>
    <x v="30"/>
    <n v="11973.457894736843"/>
    <n v="7184.0747368421053"/>
    <n v="7184.0747368421053"/>
    <n v="7184.0747368421053"/>
    <n v="9099.8280000000013"/>
    <n v="11733.988736842104"/>
    <n v="8046.1637052631577"/>
    <n v="8141.9513684210524"/>
  </r>
  <r>
    <x v="3"/>
    <x v="4"/>
    <x v="30"/>
    <n v="6385.8442105263166"/>
    <n v="3831.5065263157899"/>
    <n v="3831.5065263157899"/>
    <n v="3831.5065263157899"/>
    <n v="4853.2416000000003"/>
    <n v="6258.12732631579"/>
    <n v="4291.2873094736842"/>
    <n v="4342.3740631578949"/>
  </r>
  <r>
    <x v="3"/>
    <x v="5"/>
    <x v="30"/>
    <n v="7982.3052631578948"/>
    <n v="10376.996842105264"/>
    <n v="11973.457894736843"/>
    <n v="11175.22736842105"/>
    <n v="9658.5893684210532"/>
    <n v="12771.688421052633"/>
    <n v="10744.182884210526"/>
    <n v="10696.289052631579"/>
  </r>
  <r>
    <x v="3"/>
    <x v="6"/>
    <x v="30"/>
    <n v="6784.9594736842109"/>
    <n v="4070.9756842105262"/>
    <n v="4070.9756842105262"/>
    <n v="4070.9756842105262"/>
    <n v="5156.5691999999999"/>
    <n v="6649.2602842105262"/>
    <n v="4559.4927663157896"/>
    <n v="4613.7724421052635"/>
  </r>
  <r>
    <x v="3"/>
    <x v="7"/>
    <x v="30"/>
    <n v="3192.9221052631583"/>
    <n v="1915.7532631578949"/>
    <n v="1915.7532631578949"/>
    <n v="1915.7532631578949"/>
    <n v="2426.6208000000001"/>
    <n v="3129.063663157895"/>
    <n v="2145.6436547368421"/>
    <n v="2171.1870315789474"/>
  </r>
  <r>
    <x v="3"/>
    <x v="0"/>
    <x v="31"/>
    <n v="53259.883946488291"/>
    <n v="69237.819397993313"/>
    <n v="79889.782608695648"/>
    <n v="51152.436789297659"/>
    <n v="62103.303277591978"/>
    <n v="80533.513612040129"/>
    <n v="65132.590642140465"/>
    <n v="66685.941070234112"/>
  </r>
  <r>
    <x v="3"/>
    <x v="1"/>
    <x v="31"/>
    <n v="49709.205351170567"/>
    <n v="64621.965551839465"/>
    <n v="74563.789297658863"/>
    <n v="69592.876254180606"/>
    <n v="60148.134916387957"/>
    <n v="79534.722006688957"/>
    <n v="66908.580260869567"/>
    <n v="66610.325150501667"/>
  </r>
  <r>
    <x v="3"/>
    <x v="2"/>
    <x v="31"/>
    <n v="2130.3945150501672"/>
    <n v="1278.2367090301002"/>
    <n v="1278.2367090301002"/>
    <n v="1278.2367090301002"/>
    <n v="1619.099831438127"/>
    <n v="2087.7866247491638"/>
    <n v="1431.6251141137122"/>
    <n v="1448.6682702341136"/>
  </r>
  <r>
    <x v="3"/>
    <x v="3"/>
    <x v="31"/>
    <n v="5325.9862876254174"/>
    <n v="3195.5917725752506"/>
    <n v="3195.5917725752506"/>
    <n v="3195.5917725752506"/>
    <n v="4047.7495785953179"/>
    <n v="5219.4665618729105"/>
    <n v="3579.0627852842808"/>
    <n v="3621.6706755852842"/>
  </r>
  <r>
    <x v="3"/>
    <x v="4"/>
    <x v="31"/>
    <n v="2840.5260200668899"/>
    <n v="1704.3156120401338"/>
    <n v="1704.3156120401338"/>
    <n v="1704.3156120401338"/>
    <n v="2158.7997752508363"/>
    <n v="2783.7154996655522"/>
    <n v="1908.8334854849502"/>
    <n v="1931.5576936454854"/>
  </r>
  <r>
    <x v="3"/>
    <x v="5"/>
    <x v="31"/>
    <n v="3550.6575250836117"/>
    <n v="4615.854782608696"/>
    <n v="5325.9862876254174"/>
    <n v="4970.9205351170558"/>
    <n v="4296.2956053511707"/>
    <n v="5681.0520401337799"/>
    <n v="4779.1850287625421"/>
    <n v="4757.8810836120401"/>
  </r>
  <r>
    <x v="3"/>
    <x v="6"/>
    <x v="31"/>
    <n v="3018.0588963210703"/>
    <n v="1810.8353377926419"/>
    <n v="1810.8353377926419"/>
    <n v="1810.8353377926419"/>
    <n v="2293.7247612040132"/>
    <n v="2957.6977183946483"/>
    <n v="2028.135578327759"/>
    <n v="2052.2800494983276"/>
  </r>
  <r>
    <x v="3"/>
    <x v="7"/>
    <x v="31"/>
    <n v="1420.263010033445"/>
    <n v="852.15780602006691"/>
    <n v="852.15780602006691"/>
    <n v="852.15780602006691"/>
    <n v="1079.3998876254182"/>
    <n v="1391.8577498327761"/>
    <n v="954.41674274247509"/>
    <n v="965.778846822742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A03202-A517-4ED1-B25D-08F9449190B1}" name="TablaDinámica6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12" firstHeaderRow="0" firstDataRow="1" firstDataCol="1" rowPageCount="1" colPageCount="1"/>
  <pivotFields count="7">
    <pivotField axis="axisPage" showAll="0">
      <items count="2">
        <item x="0"/>
        <item t="default"/>
      </items>
    </pivotField>
    <pivotField axis="axisRow" showAll="0">
      <items count="9">
        <item x="0"/>
        <item x="4"/>
        <item x="1"/>
        <item x="6"/>
        <item x="7"/>
        <item x="3"/>
        <item x="5"/>
        <item x="2"/>
        <item t="default"/>
      </items>
    </pivotField>
    <pivotField dataField="1" numFmtId="10" showAll="0"/>
    <pivotField dataField="1" numFmtId="10" showAll="0"/>
    <pivotField dataField="1" numFmtId="10" showAll="0"/>
    <pivotField dataField="1" numFmtId="10" showAll="0"/>
    <pivotField numFmtId="1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item="0" hier="-1"/>
  </pageFields>
  <dataFields count="4">
    <dataField name=" Semana de 12/10/2020 -  18/10/2020" fld="2" subtotal="average" baseField="1" baseItem="0"/>
    <dataField name=" Semana de 19/10/2020 -  25/10/2021" fld="3" subtotal="average" baseField="1" baseItem="0"/>
    <dataField name=" Semana de 26/10/2020 -  01/11/2022" fld="4" subtotal="average" baseField="1" baseItem="0"/>
    <dataField name=" Semana de 02/11/2020 -  08/11/2023" fld="5" subtotal="average" baseField="1" baseItem="0"/>
  </dataFields>
  <formats count="1">
    <format dxfId="11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9AA6FD-0FA7-4503-B374-FFD2BD0EBFED}" name="TablaDinámica3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>
  <location ref="S15:U18" firstHeaderRow="0" firstDataRow="1" firstDataCol="1"/>
  <pivotFields count="11">
    <pivotField showAll="0">
      <items count="6">
        <item h="1" x="2"/>
        <item h="1" x="0"/>
        <item h="1" m="1" x="4"/>
        <item h="1" x="3"/>
        <item x="1"/>
        <item t="default"/>
      </items>
    </pivotField>
    <pivotField axis="axisRow" showAll="0">
      <items count="17">
        <item h="1" m="1" x="8"/>
        <item h="1" m="1" x="10"/>
        <item h="1" m="1" x="12"/>
        <item n="Plataforma Bogotá" h="1" m="1" x="13"/>
        <item h="1" m="1" x="15"/>
        <item h="1" m="1" x="14"/>
        <item h="1" m="1" x="11"/>
        <item h="1" m="1" x="9"/>
        <item n="Plataforma Bogotá2" h="1" x="5"/>
        <item x="7"/>
        <item h="1" x="0"/>
        <item h="1" x="1"/>
        <item h="1" x="2"/>
        <item h="1" x="3"/>
        <item h="1" x="4"/>
        <item h="1" x="6"/>
        <item t="default"/>
      </items>
    </pivotField>
    <pivotField axis="axisRow" showAll="0">
      <items count="50">
        <item h="1" m="1" x="36"/>
        <item h="1" x="10"/>
        <item h="1" m="1" x="47"/>
        <item h="1" m="1" x="34"/>
        <item h="1" m="1" x="45"/>
        <item h="1" m="1" x="38"/>
        <item h="1" m="1" x="41"/>
        <item h="1" x="0"/>
        <item h="1" x="9"/>
        <item h="1" x="3"/>
        <item h="1" m="1" x="42"/>
        <item h="1" x="2"/>
        <item h="1" x="8"/>
        <item h="1" x="6"/>
        <item h="1" m="1" x="46"/>
        <item h="1" x="22"/>
        <item h="1" x="19"/>
        <item h="1" m="1" x="33"/>
        <item h="1" x="21"/>
        <item h="1" x="26"/>
        <item h="1" x="24"/>
        <item h="1" m="1" x="39"/>
        <item h="1" x="18"/>
        <item h="1" x="14"/>
        <item h="1" m="1" x="40"/>
        <item h="1" m="1" x="43"/>
        <item h="1" m="1" x="37"/>
        <item h="1" m="1" x="35"/>
        <item h="1" m="1" x="32"/>
        <item h="1" m="1" x="48"/>
        <item h="1" x="30"/>
        <item h="1" m="1" x="44"/>
        <item h="1" x="20"/>
        <item h="1" x="4"/>
        <item h="1" x="1"/>
        <item h="1" x="5"/>
        <item h="1" x="7"/>
        <item x="11"/>
        <item h="1" x="12"/>
        <item h="1" x="13"/>
        <item h="1" x="15"/>
        <item h="1" x="16"/>
        <item h="1" x="17"/>
        <item h="1" x="23"/>
        <item h="1" x="25"/>
        <item h="1" x="27"/>
        <item h="1" x="28"/>
        <item h="1" x="29"/>
        <item h="1" x="3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showAll="0"/>
  </pivotFields>
  <rowFields count="2">
    <field x="1"/>
    <field x="2"/>
  </rowFields>
  <rowItems count="3">
    <i>
      <x v="9"/>
    </i>
    <i r="1"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Objetivo 100%" fld="7" baseField="1" baseItem="3"/>
    <dataField name="Suma de Objetivo 150%" fld="8" baseField="1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5B3AC4-A35F-4511-88C0-E3A2D7289054}" name="TablaDinámica1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>
  <location ref="O15:Q18" firstHeaderRow="0" firstDataRow="1" firstDataCol="1"/>
  <pivotFields count="11">
    <pivotField showAll="0">
      <items count="6">
        <item x="2"/>
        <item h="1" x="0"/>
        <item h="1" m="1" x="4"/>
        <item h="1" x="3"/>
        <item h="1" x="1"/>
        <item t="default"/>
      </items>
    </pivotField>
    <pivotField axis="axisRow" showAll="0">
      <items count="17">
        <item h="1" m="1" x="8"/>
        <item h="1" m="1" x="10"/>
        <item h="1" m="1" x="12"/>
        <item n="Plataforma Bogotá" h="1" m="1" x="13"/>
        <item h="1" m="1" x="15"/>
        <item h="1" m="1" x="14"/>
        <item h="1" m="1" x="11"/>
        <item h="1" m="1" x="9"/>
        <item n="Plataforma Bogotá2" h="1" x="5"/>
        <item x="7"/>
        <item h="1" x="0"/>
        <item h="1" x="1"/>
        <item h="1" x="2"/>
        <item h="1" x="3"/>
        <item h="1" x="4"/>
        <item h="1" x="6"/>
        <item t="default"/>
      </items>
    </pivotField>
    <pivotField axis="axisRow" showAll="0">
      <items count="50">
        <item n="Certificación de proveedores" h="1" m="1" x="36"/>
        <item h="1" x="10"/>
        <item h="1" m="1" x="47"/>
        <item h="1" m="1" x="34"/>
        <item h="1" m="1" x="45"/>
        <item h="1" m="1" x="38"/>
        <item h="1" m="1" x="41"/>
        <item h="1" x="0"/>
        <item h="1" x="9"/>
        <item h="1" x="3"/>
        <item h="1" m="1" x="42"/>
        <item h="1" x="2"/>
        <item h="1" x="8"/>
        <item h="1" x="6"/>
        <item h="1" m="1" x="46"/>
        <item h="1" x="22"/>
        <item h="1" x="19"/>
        <item h="1" m="1" x="33"/>
        <item h="1" x="21"/>
        <item h="1" x="26"/>
        <item h="1" x="24"/>
        <item h="1" m="1" x="39"/>
        <item h="1" x="18"/>
        <item h="1" x="14"/>
        <item h="1" m="1" x="40"/>
        <item h="1" m="1" x="43"/>
        <item h="1" m="1" x="37"/>
        <item h="1" m="1" x="35"/>
        <item h="1" m="1" x="32"/>
        <item h="1" m="1" x="48"/>
        <item h="1" x="30"/>
        <item h="1" m="1" x="44"/>
        <item h="1" x="20"/>
        <item h="1" x="4"/>
        <item h="1" x="1"/>
        <item h="1" x="5"/>
        <item h="1" x="7"/>
        <item h="1" x="11"/>
        <item h="1" x="12"/>
        <item h="1" x="13"/>
        <item h="1" x="15"/>
        <item h="1" x="16"/>
        <item x="17"/>
        <item n="Certificación de proveedores2" h="1" x="23"/>
        <item h="1" x="25"/>
        <item h="1" x="27"/>
        <item h="1" x="28"/>
        <item h="1" x="29"/>
        <item h="1" x="3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showAll="0"/>
  </pivotFields>
  <rowFields count="2">
    <field x="1"/>
    <field x="2"/>
  </rowFields>
  <rowItems count="3">
    <i>
      <x v="9"/>
    </i>
    <i r="1">
      <x v="42"/>
    </i>
    <i t="grand">
      <x/>
    </i>
  </rowItems>
  <colFields count="1">
    <field x="-2"/>
  </colFields>
  <colItems count="2">
    <i>
      <x/>
    </i>
    <i i="1">
      <x v="1"/>
    </i>
  </colItems>
  <dataFields count="2">
    <dataField name=" Objetivo 150%" fld="8" baseField="1" baseItem="0"/>
    <dataField name=" Objetivo 100%" fld="7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A61561-ECEB-4CC1-B45F-8CA159E81DD3}" name="TablaDinámica8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I57:O66" firstHeaderRow="0" firstDataRow="1" firstDataCol="1" rowPageCount="2" colPageCount="1"/>
  <pivotFields count="9">
    <pivotField axis="axisPage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axis="axisRow" showAll="0" sortType="ascending">
      <items count="9">
        <item x="0"/>
        <item x="4"/>
        <item x="1"/>
        <item x="6"/>
        <item x="7"/>
        <item x="3"/>
        <item x="5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2">
    <pageField fld="0" item="0" hier="-1"/>
    <pageField fld="1" item="0" hier="-1"/>
  </pageFields>
  <dataFields count="6">
    <dataField name="Promedio de Unidades 200 gramos" fld="3" subtotal="average" baseField="2" baseItem="0"/>
    <dataField name="Promedio de Unidades 500 gramos" fld="4" subtotal="average" baseField="2" baseItem="3"/>
    <dataField name="Promedio de Granel" fld="5" subtotal="average" baseField="2" baseItem="3"/>
    <dataField name="Promedio de Capacidad" fld="6" subtotal="average" baseField="2" baseItem="3"/>
    <dataField name="Promedio de Proyeccion suavizada" fld="7" subtotal="average" baseField="2" baseItem="0"/>
    <dataField name="Promedio de Proyeccion Estimada Ganel" fld="8" subtotal="average" baseField="2" baseItem="0"/>
  </dataFields>
  <formats count="21">
    <format dxfId="11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06">
      <pivotArea collapsedLevelsAreSubtotals="1" fieldPosition="0">
        <references count="2">
          <reference field="4294967294" count="1" selected="0">
            <x v="3"/>
          </reference>
          <reference field="2" count="3">
            <x v="2"/>
            <x v="3"/>
            <x v="4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4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03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102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101">
      <pivotArea grandRow="1" outline="0" collapsedLevelsAreSubtotals="1" fieldPosition="0"/>
    </format>
    <format dxfId="100">
      <pivotArea field="2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99">
      <pivotArea field="2" type="button" dataOnly="0" labelOnly="1" outline="0" axis="axisRow" fieldPosition="0"/>
    </format>
    <format dxfId="9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2" type="button" dataOnly="0" labelOnly="1" outline="0" axis="axisRow" fieldPosition="0"/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grandRow="1" outline="0" fieldPosition="0"/>
    </format>
    <format dxfId="9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711572-2B44-4787-AC83-18FF13687C6B}" name="TablaDinámica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18:B51" firstHeaderRow="1" firstDataRow="1" firstDataCol="1"/>
  <pivotFields count="1">
    <pivotField axis="axisRow" showAll="0">
      <items count="33">
        <item x="23"/>
        <item x="11"/>
        <item x="12"/>
        <item x="10"/>
        <item x="5"/>
        <item x="0"/>
        <item x="9"/>
        <item x="3"/>
        <item x="1"/>
        <item x="2"/>
        <item x="8"/>
        <item x="6"/>
        <item x="7"/>
        <item x="22"/>
        <item x="19"/>
        <item x="21"/>
        <item x="26"/>
        <item x="24"/>
        <item x="17"/>
        <item x="18"/>
        <item x="14"/>
        <item x="25"/>
        <item x="31"/>
        <item x="28"/>
        <item x="27"/>
        <item x="15"/>
        <item x="16"/>
        <item x="13"/>
        <item x="30"/>
        <item x="29"/>
        <item x="20"/>
        <item x="4"/>
        <item t="default"/>
      </items>
    </pivotField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F0154A-A36E-41AE-AD99-80E9E3AEFEDC}" name="TablaDinámica2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12" firstHeaderRow="0" firstDataRow="1" firstDataCol="1" rowPageCount="1" colPageCount="1"/>
  <pivotFields count="8">
    <pivotField axis="axisPage" showAll="0">
      <items count="2">
        <item x="0"/>
        <item t="default"/>
      </items>
    </pivotField>
    <pivotField axis="axisRow" showAll="0">
      <items count="9">
        <item x="0"/>
        <item x="1"/>
        <item x="6"/>
        <item n="Gobernación" x="7"/>
        <item x="3"/>
        <item x="5"/>
        <item x="2"/>
        <item x="4"/>
        <item t="default"/>
      </items>
    </pivotField>
    <pivotField numFmtId="9" showAll="0"/>
    <pivotField dataField="1" numFmtId="9" showAll="0"/>
    <pivotField dataField="1" numFmtId="9" showAll="0"/>
    <pivotField dataField="1" numFmtId="9" showAll="0"/>
    <pivotField dataField="1" numFmtId="9" showAll="0"/>
    <pivotField numFmtId="9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item="0" hier="-1"/>
  </pageFields>
  <dataFields count="4">
    <dataField name=" Semana de 12/10/2020 -  18/10/2020" fld="3" subtotal="average" baseField="1" baseItem="0"/>
    <dataField name=" Semana de 19/10/2020 -  25/10/2021" fld="4" subtotal="average" baseField="1" baseItem="0"/>
    <dataField name=" Semana de 26/10/2020 -  01/11/2022" fld="5" subtotal="average" baseField="1" baseItem="0"/>
    <dataField name=" Semana de 02/11/2020 -  08/11/2023" fld="6" subtotal="average" baseField="1" baseItem="0"/>
  </dataFields>
  <formats count="2">
    <format dxfId="114">
      <pivotArea collapsedLevelsAreSubtotals="1" fieldPosition="0">
        <references count="1">
          <reference field="1" count="0"/>
        </references>
      </pivotArea>
    </format>
    <format dxfId="113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16AAA9-5B9F-41E2-8E5E-B97E9EF07D88}" name="TablaDinámica5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>
  <location ref="N3:S6" firstHeaderRow="0" firstDataRow="1" firstDataCol="1"/>
  <pivotFields count="11">
    <pivotField showAll="0">
      <items count="6">
        <item h="1" x="2"/>
        <item h="1" x="0"/>
        <item h="1" m="1" x="4"/>
        <item x="3"/>
        <item h="1" x="1"/>
        <item t="default"/>
      </items>
    </pivotField>
    <pivotField axis="axisRow" showAll="0">
      <items count="17">
        <item h="1" m="1" x="8"/>
        <item h="1" m="1" x="10"/>
        <item h="1" m="1" x="12"/>
        <item h="1" m="1" x="13"/>
        <item h="1" m="1" x="15"/>
        <item h="1" m="1" x="14"/>
        <item h="1" m="1" x="11"/>
        <item h="1" m="1" x="9"/>
        <item h="1" x="5"/>
        <item x="7"/>
        <item h="1" x="0"/>
        <item h="1" x="1"/>
        <item h="1" x="2"/>
        <item h="1" x="3"/>
        <item h="1" x="4"/>
        <item h="1" x="6"/>
        <item t="default"/>
      </items>
    </pivotField>
    <pivotField axis="axisRow" showAll="0">
      <items count="50">
        <item h="1" x="10"/>
        <item h="1" m="1" x="45"/>
        <item h="1" m="1" x="38"/>
        <item h="1" m="1" x="41"/>
        <item h="1" x="0"/>
        <item h="1" x="8"/>
        <item h="1" x="6"/>
        <item h="1" x="26"/>
        <item h="1" x="24"/>
        <item h="1" m="1" x="39"/>
        <item h="1" x="18"/>
        <item h="1" x="14"/>
        <item h="1" m="1" x="40"/>
        <item h="1" m="1" x="43"/>
        <item h="1" m="1" x="32"/>
        <item h="1" m="1" x="48"/>
        <item h="1" x="19"/>
        <item h="1" m="1" x="35"/>
        <item h="1" m="1" x="37"/>
        <item h="1" x="20"/>
        <item h="1" m="1" x="33"/>
        <item h="1" x="21"/>
        <item h="1" x="22"/>
        <item h="1" x="9"/>
        <item h="1" m="1" x="47"/>
        <item h="1" m="1" x="34"/>
        <item h="1" m="1" x="44"/>
        <item h="1" m="1" x="36"/>
        <item h="1" x="4"/>
        <item h="1" x="3"/>
        <item h="1" x="30"/>
        <item h="1" x="2"/>
        <item h="1" m="1" x="46"/>
        <item h="1" m="1" x="42"/>
        <item h="1" x="1"/>
        <item h="1" x="5"/>
        <item h="1" x="7"/>
        <item h="1" x="11"/>
        <item h="1" x="12"/>
        <item h="1" x="13"/>
        <item h="1" x="15"/>
        <item h="1" x="16"/>
        <item h="1" x="17"/>
        <item h="1" x="23"/>
        <item h="1" x="25"/>
        <item h="1" x="27"/>
        <item x="28"/>
        <item h="1" x="29"/>
        <item h="1" x="31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showAll="0"/>
  </pivotFields>
  <rowFields count="2">
    <field x="1"/>
    <field x="2"/>
  </rowFields>
  <rowItems count="3">
    <i>
      <x v="9"/>
    </i>
    <i r="1">
      <x v="4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2016" fld="3" baseField="1" baseItem="2"/>
    <dataField name="Suma de 2017" fld="4" baseField="1" baseItem="2"/>
    <dataField name="Suma de 2018" fld="5" baseField="2" baseItem="2"/>
    <dataField name="Suma de 2019" fld="6" baseField="2" baseItem="2"/>
    <dataField name="Suma de Pronostico 2020 suavización" fld="9" baseField="1" baseItem="1"/>
  </dataFields>
  <chartFormats count="1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1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3B38FA-33CF-45D7-B78A-A3C84AE0199E}" name="TablaDinámica1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12">
  <location ref="AD3:AI6" firstHeaderRow="0" firstDataRow="1" firstDataCol="1"/>
  <pivotFields count="11">
    <pivotField showAll="0">
      <items count="6">
        <item h="1" x="2"/>
        <item x="0"/>
        <item h="1" m="1" x="4"/>
        <item h="1" x="3"/>
        <item h="1" x="1"/>
        <item t="default"/>
      </items>
    </pivotField>
    <pivotField axis="axisRow" showAll="0">
      <items count="17">
        <item h="1" m="1" x="8"/>
        <item h="1" m="1" x="10"/>
        <item h="1" m="1" x="12"/>
        <item h="1" m="1" x="13"/>
        <item h="1" m="1" x="15"/>
        <item h="1" m="1" x="14"/>
        <item h="1" m="1" x="11"/>
        <item h="1" m="1" x="9"/>
        <item h="1" x="5"/>
        <item x="7"/>
        <item h="1" x="0"/>
        <item h="1" x="1"/>
        <item h="1" x="2"/>
        <item h="1" x="3"/>
        <item h="1" x="4"/>
        <item h="1" x="6"/>
        <item t="default"/>
      </items>
    </pivotField>
    <pivotField axis="axisRow" showAll="0">
      <items count="50">
        <item h="1" x="10"/>
        <item h="1" m="1" x="45"/>
        <item h="1" m="1" x="38"/>
        <item h="1" m="1" x="41"/>
        <item h="1" x="0"/>
        <item h="1" x="8"/>
        <item h="1" x="6"/>
        <item h="1" x="26"/>
        <item h="1" x="24"/>
        <item h="1" m="1" x="39"/>
        <item h="1" x="18"/>
        <item h="1" x="14"/>
        <item h="1" m="1" x="40"/>
        <item h="1" m="1" x="43"/>
        <item h="1" m="1" x="32"/>
        <item h="1" m="1" x="48"/>
        <item h="1" x="19"/>
        <item h="1" m="1" x="35"/>
        <item h="1" m="1" x="37"/>
        <item h="1" x="20"/>
        <item h="1" m="1" x="33"/>
        <item h="1" x="21"/>
        <item h="1" x="22"/>
        <item h="1" x="9"/>
        <item h="1" m="1" x="47"/>
        <item h="1" m="1" x="34"/>
        <item h="1" m="1" x="44"/>
        <item h="1" m="1" x="36"/>
        <item h="1" x="4"/>
        <item h="1" x="3"/>
        <item h="1" x="30"/>
        <item h="1" x="2"/>
        <item h="1" m="1" x="46"/>
        <item h="1" m="1" x="42"/>
        <item h="1" x="1"/>
        <item x="5"/>
        <item h="1" x="7"/>
        <item h="1" x="11"/>
        <item h="1" x="12"/>
        <item h="1" x="13"/>
        <item h="1" x="15"/>
        <item h="1" x="16"/>
        <item h="1" x="17"/>
        <item h="1" x="23"/>
        <item h="1" x="25"/>
        <item h="1" x="27"/>
        <item h="1" x="28"/>
        <item h="1" x="29"/>
        <item h="1" x="31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showAll="0"/>
  </pivotFields>
  <rowFields count="2">
    <field x="1"/>
    <field x="2"/>
  </rowFields>
  <rowItems count="3">
    <i>
      <x v="9"/>
    </i>
    <i r="1">
      <x v="3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2016" fld="3" baseField="1" baseItem="0"/>
    <dataField name="Suma de 2017" fld="4" baseField="1" baseItem="0"/>
    <dataField name="Suma de 2018" fld="5" baseField="1" baseItem="0"/>
    <dataField name="Suma de 2019" fld="6" baseField="1" baseItem="0"/>
    <dataField name="Suma de Pronostico 2020 suavización" fld="9" baseField="1" baseItem="1"/>
  </dataFields>
  <formats count="2">
    <format dxfId="85">
      <pivotArea outline="0" collapsedLevelsAreSubtotals="1" fieldPosition="0"/>
    </format>
    <format dxfId="8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hartFormats count="13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1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1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2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" format="2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" format="2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1" format="29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24FC2B-11B4-45CA-A16D-B4B8E1112CAA}" name="TablaDinámica6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6">
  <location ref="V3:AA6" firstHeaderRow="0" firstDataRow="1" firstDataCol="1"/>
  <pivotFields count="11">
    <pivotField showAll="0">
      <items count="6">
        <item h="1" x="2"/>
        <item h="1" x="0"/>
        <item h="1" m="1" x="4"/>
        <item h="1" x="3"/>
        <item x="1"/>
        <item t="default"/>
      </items>
    </pivotField>
    <pivotField axis="axisRow" showAll="0">
      <items count="17">
        <item h="1" m="1" x="8"/>
        <item h="1" m="1" x="10"/>
        <item h="1" m="1" x="12"/>
        <item h="1" m="1" x="13"/>
        <item h="1" m="1" x="15"/>
        <item h="1" m="1" x="14"/>
        <item h="1" m="1" x="11"/>
        <item h="1" m="1" x="9"/>
        <item h="1" x="5"/>
        <item x="7"/>
        <item h="1" x="0"/>
        <item h="1" x="1"/>
        <item h="1" x="2"/>
        <item h="1" x="3"/>
        <item h="1" x="4"/>
        <item h="1" x="6"/>
        <item t="default"/>
      </items>
    </pivotField>
    <pivotField axis="axisRow" showAll="0">
      <items count="50">
        <item h="1" x="10"/>
        <item h="1" m="1" x="45"/>
        <item h="1" m="1" x="38"/>
        <item h="1" m="1" x="41"/>
        <item h="1" x="0"/>
        <item h="1" x="8"/>
        <item h="1" x="6"/>
        <item h="1" x="26"/>
        <item h="1" x="24"/>
        <item h="1" m="1" x="39"/>
        <item h="1" x="18"/>
        <item h="1" x="14"/>
        <item h="1" m="1" x="40"/>
        <item h="1" m="1" x="43"/>
        <item h="1" m="1" x="32"/>
        <item h="1" m="1" x="48"/>
        <item h="1" x="19"/>
        <item h="1" m="1" x="35"/>
        <item h="1" m="1" x="37"/>
        <item h="1" x="20"/>
        <item h="1" m="1" x="33"/>
        <item h="1" x="21"/>
        <item h="1" x="22"/>
        <item h="1" x="9"/>
        <item h="1" m="1" x="47"/>
        <item h="1" m="1" x="34"/>
        <item h="1" m="1" x="44"/>
        <item h="1" m="1" x="36"/>
        <item h="1" x="4"/>
        <item h="1" x="3"/>
        <item h="1" x="30"/>
        <item h="1" x="2"/>
        <item h="1" m="1" x="46"/>
        <item h="1" m="1" x="42"/>
        <item h="1" x="1"/>
        <item h="1" x="5"/>
        <item h="1" x="7"/>
        <item x="11"/>
        <item h="1" x="12"/>
        <item h="1" x="13"/>
        <item h="1" x="15"/>
        <item h="1" x="16"/>
        <item h="1" x="17"/>
        <item h="1" x="23"/>
        <item h="1" x="25"/>
        <item h="1" x="27"/>
        <item h="1" x="28"/>
        <item h="1" x="29"/>
        <item h="1" x="31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showAll="0"/>
  </pivotFields>
  <rowFields count="2">
    <field x="1"/>
    <field x="2"/>
  </rowFields>
  <rowItems count="3">
    <i>
      <x v="9"/>
    </i>
    <i r="1">
      <x v="3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2016" fld="3" baseField="1" baseItem="0"/>
    <dataField name="Suma de 2017" fld="4" baseField="1" baseItem="0"/>
    <dataField name="Suma de 2018" fld="5" baseField="1" baseItem="0"/>
    <dataField name="Suma de 2019" fld="6" baseField="1" baseItem="0"/>
    <dataField name="Suma de Pronostico 2020 suavización" fld="9" baseField="1" baseItem="1"/>
  </dataFields>
  <chartFormats count="5">
    <chartFormat chart="5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1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1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AB4118-B913-4A59-8643-00AAEDE897D6}" name="TablaDinámica9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 chartFormat="15">
  <location ref="E3:J6" firstHeaderRow="0" firstDataRow="1" firstDataCol="1"/>
  <pivotFields count="11">
    <pivotField showAll="0">
      <items count="6">
        <item x="2"/>
        <item h="1" x="0"/>
        <item h="1" m="1" x="4"/>
        <item h="1" x="3"/>
        <item h="1" x="1"/>
        <item t="default"/>
      </items>
    </pivotField>
    <pivotField axis="axisRow" showAll="0">
      <items count="17">
        <item h="1" m="1" x="8"/>
        <item h="1" m="1" x="10"/>
        <item h="1" m="1" x="12"/>
        <item h="1" m="1" x="13"/>
        <item h="1" m="1" x="15"/>
        <item h="1" m="1" x="14"/>
        <item h="1" m="1" x="11"/>
        <item h="1" m="1" x="9"/>
        <item h="1" x="5"/>
        <item x="7"/>
        <item h="1" x="0"/>
        <item h="1" x="1"/>
        <item h="1" x="2"/>
        <item h="1" x="3"/>
        <item h="1" x="4"/>
        <item h="1" x="6"/>
        <item t="default"/>
      </items>
    </pivotField>
    <pivotField axis="axisRow" showAll="0">
      <items count="50">
        <item h="1" x="10"/>
        <item h="1" m="1" x="45"/>
        <item h="1" m="1" x="38"/>
        <item h="1" m="1" x="41"/>
        <item h="1" x="0"/>
        <item h="1" x="8"/>
        <item h="1" x="6"/>
        <item h="1" x="26"/>
        <item h="1" x="24"/>
        <item h="1" m="1" x="39"/>
        <item h="1" x="18"/>
        <item h="1" x="14"/>
        <item h="1" m="1" x="40"/>
        <item h="1" m="1" x="43"/>
        <item h="1" m="1" x="32"/>
        <item h="1" m="1" x="48"/>
        <item h="1" x="19"/>
        <item h="1" m="1" x="35"/>
        <item h="1" m="1" x="37"/>
        <item h="1" x="20"/>
        <item h="1" m="1" x="33"/>
        <item h="1" x="21"/>
        <item h="1" x="22"/>
        <item h="1" x="9"/>
        <item h="1" m="1" x="47"/>
        <item h="1" m="1" x="34"/>
        <item h="1" m="1" x="44"/>
        <item h="1" m="1" x="36"/>
        <item h="1" x="4"/>
        <item h="1" x="3"/>
        <item h="1" x="30"/>
        <item h="1" x="2"/>
        <item h="1" m="1" x="46"/>
        <item h="1" m="1" x="42"/>
        <item h="1" x="1"/>
        <item h="1" x="5"/>
        <item h="1" x="7"/>
        <item h="1" x="11"/>
        <item h="1" x="12"/>
        <item h="1" x="13"/>
        <item h="1" x="15"/>
        <item h="1" x="16"/>
        <item x="17"/>
        <item h="1" x="23"/>
        <item h="1" x="25"/>
        <item h="1" x="27"/>
        <item h="1" x="28"/>
        <item h="1" x="29"/>
        <item h="1" x="31"/>
        <item t="default"/>
      </items>
    </pivotField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showAll="0"/>
  </pivotFields>
  <rowFields count="2">
    <field x="1"/>
    <field x="2"/>
  </rowFields>
  <rowItems count="3">
    <i>
      <x v="9"/>
    </i>
    <i r="1">
      <x v="4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Suma de 2016" fld="3" baseField="1" baseItem="0"/>
    <dataField name=" Suma de 2017" fld="4" baseField="1" baseItem="0"/>
    <dataField name=" Suma de 2018" fld="5" baseField="1" baseItem="0"/>
    <dataField name="Suma de 2019" fld="6" baseField="1" baseItem="0"/>
    <dataField name="Suma de Pronostico 2020 suavización" fld="9" baseField="1" baseItem="1"/>
  </dataFields>
  <formats count="2">
    <format dxfId="87">
      <pivotArea outline="0" collapsedLevelsAreSubtotals="1" fieldPosition="0"/>
    </format>
    <format dxfId="8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hartFormats count="17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1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1" format="1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1" format="1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2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2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2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0" format="17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F17608-53F4-4732-8AC7-CA18FB81FFE0}" name="TablaDinámica4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>
  <location ref="W15:Y18" firstHeaderRow="0" firstDataRow="1" firstDataCol="1"/>
  <pivotFields count="11">
    <pivotField showAll="0">
      <items count="6">
        <item h="1" x="2"/>
        <item h="1" x="0"/>
        <item h="1" m="1" x="4"/>
        <item x="3"/>
        <item h="1" x="1"/>
        <item t="default"/>
      </items>
    </pivotField>
    <pivotField axis="axisRow" showAll="0">
      <items count="17">
        <item h="1" m="1" x="8"/>
        <item h="1" m="1" x="10"/>
        <item h="1" m="1" x="12"/>
        <item n="Plataforma Bogotá" h="1" m="1" x="13"/>
        <item h="1" m="1" x="15"/>
        <item h="1" m="1" x="14"/>
        <item h="1" m="1" x="11"/>
        <item h="1" m="1" x="9"/>
        <item n="Plataforma Bogotá2" h="1" x="5"/>
        <item x="7"/>
        <item h="1" x="0"/>
        <item h="1" x="1"/>
        <item h="1" x="2"/>
        <item h="1" x="3"/>
        <item h="1" x="4"/>
        <item h="1" x="6"/>
        <item t="default"/>
      </items>
    </pivotField>
    <pivotField axis="axisRow" showAll="0">
      <items count="50">
        <item h="1" m="1" x="36"/>
        <item h="1" x="10"/>
        <item h="1" m="1" x="47"/>
        <item h="1" m="1" x="34"/>
        <item h="1" m="1" x="45"/>
        <item h="1" m="1" x="38"/>
        <item h="1" m="1" x="41"/>
        <item h="1" x="0"/>
        <item h="1" x="9"/>
        <item h="1" x="3"/>
        <item h="1" m="1" x="42"/>
        <item h="1" x="2"/>
        <item h="1" x="8"/>
        <item h="1" x="6"/>
        <item h="1" m="1" x="46"/>
        <item h="1" x="22"/>
        <item h="1" x="19"/>
        <item h="1" m="1" x="33"/>
        <item h="1" x="21"/>
        <item h="1" x="26"/>
        <item h="1" x="24"/>
        <item h="1" m="1" x="39"/>
        <item h="1" x="18"/>
        <item h="1" x="14"/>
        <item h="1" m="1" x="40"/>
        <item h="1" m="1" x="43"/>
        <item n="Rotación Productos internacionales" h="1" m="1" x="37"/>
        <item h="1" m="1" x="35"/>
        <item h="1" m="1" x="32"/>
        <item h="1" m="1" x="48"/>
        <item h="1" x="30"/>
        <item h="1" m="1" x="44"/>
        <item h="1" x="20"/>
        <item h="1" x="4"/>
        <item h="1" x="1"/>
        <item h="1" x="5"/>
        <item h="1" x="7"/>
        <item h="1" x="11"/>
        <item h="1" x="12"/>
        <item h="1" x="13"/>
        <item h="1" x="15"/>
        <item h="1" x="16"/>
        <item h="1" x="17"/>
        <item h="1" x="23"/>
        <item h="1" x="25"/>
        <item h="1" x="27"/>
        <item n="Rotación Productos internacionales2" x="28"/>
        <item h="1" x="29"/>
        <item h="1" x="3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showAll="0"/>
  </pivotFields>
  <rowFields count="2">
    <field x="1"/>
    <field x="2"/>
  </rowFields>
  <rowItems count="3">
    <i>
      <x v="9"/>
    </i>
    <i r="1">
      <x v="46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Objetivo 100%" fld="7" baseField="1" baseItem="0"/>
    <dataField name="Suma de Objetivo 150%" fld="8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ite" xr10:uid="{0A16E3B9-8AF6-4721-84A1-F75BDAA0BCA9}" sourceName="Site">
  <pivotTables>
    <pivotTable tabId="7" name="TablaDinámica9"/>
    <pivotTable tabId="7" name="TablaDinámica1"/>
    <pivotTable tabId="7" name="TablaDinámica5"/>
    <pivotTable tabId="7" name="TablaDinámica6"/>
    <pivotTable tabId="3" name="TablaDinámica1"/>
    <pivotTable tabId="3" name="TablaDinámica3"/>
    <pivotTable tabId="3" name="TablaDinámica4"/>
  </pivotTables>
  <data>
    <tabular pivotCacheId="1314544325" showMissing="0">
      <items count="16">
        <i x="6"/>
        <i x="7" s="1"/>
        <i x="2"/>
        <i x="5"/>
        <i x="0"/>
        <i x="1"/>
        <i x="3"/>
        <i x="4"/>
        <i x="8" nd="1"/>
        <i x="10" nd="1"/>
        <i x="12" nd="1"/>
        <i x="13" nd="1"/>
        <i x="15" nd="1"/>
        <i x="14" nd="1"/>
        <i x="11" nd="1"/>
        <i x="9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dicador3" xr10:uid="{A5244668-E2BE-4996-932A-B26BF5D5CF62}" sourceName="Indicador">
  <pivotTables>
    <pivotTable tabId="7" name="TablaDinámica1"/>
  </pivotTables>
  <data>
    <tabular pivotCacheId="1314544325">
      <items count="49">
        <i x="5" s="1"/>
        <i x="0"/>
        <i x="9"/>
        <i x="3"/>
        <i x="1"/>
        <i x="2"/>
        <i x="8"/>
        <i x="6"/>
        <i x="7"/>
        <i x="4"/>
        <i x="36" nd="1"/>
        <i x="23" nd="1"/>
        <i x="11" nd="1"/>
        <i x="12" nd="1"/>
        <i x="10" nd="1"/>
        <i x="47" nd="1"/>
        <i x="34" nd="1"/>
        <i x="45" nd="1"/>
        <i x="38" nd="1"/>
        <i x="41" nd="1"/>
        <i x="42" nd="1"/>
        <i x="46" nd="1"/>
        <i x="22" nd="1"/>
        <i x="19" nd="1"/>
        <i x="33" nd="1"/>
        <i x="21" nd="1"/>
        <i x="26" nd="1"/>
        <i x="24" nd="1"/>
        <i x="39" nd="1"/>
        <i x="17" nd="1"/>
        <i x="18" nd="1"/>
        <i x="14" nd="1"/>
        <i x="40" nd="1"/>
        <i x="25" nd="1"/>
        <i x="43" nd="1"/>
        <i x="31" nd="1"/>
        <i x="37" nd="1"/>
        <i x="28" nd="1"/>
        <i x="35" nd="1"/>
        <i x="27" nd="1"/>
        <i x="32" nd="1"/>
        <i x="15" nd="1"/>
        <i x="48" nd="1"/>
        <i x="16" nd="1"/>
        <i x="13" nd="1"/>
        <i x="30" nd="1"/>
        <i x="44" nd="1"/>
        <i x="29" nd="1"/>
        <i x="20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dicador4" xr10:uid="{4DB1FB17-CE37-4F69-AE6B-F09F1BFB45CC}" sourceName="Indicador">
  <pivotTables>
    <pivotTable tabId="7" name="TablaDinámica5"/>
    <pivotTable tabId="3" name="TablaDinámica4"/>
  </pivotTables>
  <data>
    <tabular pivotCacheId="1314544325">
      <items count="49">
        <i x="26"/>
        <i x="24"/>
        <i x="25"/>
        <i x="31"/>
        <i x="28" s="1"/>
        <i x="27"/>
        <i x="30"/>
        <i x="29"/>
        <i x="36" nd="1"/>
        <i x="23" nd="1"/>
        <i x="11" nd="1"/>
        <i x="12" nd="1"/>
        <i x="10" nd="1"/>
        <i x="47" nd="1"/>
        <i x="34" nd="1"/>
        <i x="45" nd="1"/>
        <i x="38" nd="1"/>
        <i x="41" nd="1"/>
        <i x="5" nd="1"/>
        <i x="0" nd="1"/>
        <i x="9" nd="1"/>
        <i x="3" nd="1"/>
        <i x="42" nd="1"/>
        <i x="1" nd="1"/>
        <i x="2" nd="1"/>
        <i x="8" nd="1"/>
        <i x="6" nd="1"/>
        <i x="46" nd="1"/>
        <i x="7" nd="1"/>
        <i x="22" nd="1"/>
        <i x="19" nd="1"/>
        <i x="33" nd="1"/>
        <i x="21" nd="1"/>
        <i x="39" nd="1"/>
        <i x="17" nd="1"/>
        <i x="18" nd="1"/>
        <i x="14" nd="1"/>
        <i x="40" nd="1"/>
        <i x="43" nd="1"/>
        <i x="37" nd="1"/>
        <i x="35" nd="1"/>
        <i x="32" nd="1"/>
        <i x="15" nd="1"/>
        <i x="48" nd="1"/>
        <i x="16" nd="1"/>
        <i x="13" nd="1"/>
        <i x="44" nd="1"/>
        <i x="20" nd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dicador" xr10:uid="{18D7E641-90C5-4D3A-B29B-5368BB0006F8}" sourceName="Indicador">
  <pivotTables>
    <pivotTable tabId="7" name="TablaDinámica9"/>
    <pivotTable tabId="3" name="TablaDinámica1"/>
  </pivotTables>
  <data>
    <tabular pivotCacheId="1314544325">
      <items count="49">
        <i x="23"/>
        <i x="22"/>
        <i x="19"/>
        <i x="21"/>
        <i x="17" s="1"/>
        <i x="18"/>
        <i x="14"/>
        <i x="15"/>
        <i x="16"/>
        <i x="20"/>
        <i x="36" nd="1"/>
        <i x="11" nd="1"/>
        <i x="12" nd="1"/>
        <i x="10" nd="1"/>
        <i x="47" nd="1"/>
        <i x="34" nd="1"/>
        <i x="45" nd="1"/>
        <i x="38" nd="1"/>
        <i x="41" nd="1"/>
        <i x="5" nd="1"/>
        <i x="0" nd="1"/>
        <i x="9" nd="1"/>
        <i x="3" nd="1"/>
        <i x="42" nd="1"/>
        <i x="1" nd="1"/>
        <i x="2" nd="1"/>
        <i x="8" nd="1"/>
        <i x="6" nd="1"/>
        <i x="46" nd="1"/>
        <i x="7" nd="1"/>
        <i x="33" nd="1"/>
        <i x="26" nd="1"/>
        <i x="24" nd="1"/>
        <i x="39" nd="1"/>
        <i x="40" nd="1"/>
        <i x="25" nd="1"/>
        <i x="43" nd="1"/>
        <i x="31" nd="1"/>
        <i x="37" nd="1"/>
        <i x="28" nd="1"/>
        <i x="35" nd="1"/>
        <i x="27" nd="1"/>
        <i x="32" nd="1"/>
        <i x="48" nd="1"/>
        <i x="13" nd="1"/>
        <i x="30" nd="1"/>
        <i x="44" nd="1"/>
        <i x="29" nd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dicador1" xr10:uid="{2263AABE-D41D-44E1-958C-11256DAC1B9B}" sourceName="Indicador">
  <pivotTables>
    <pivotTable tabId="7" name="TablaDinámica6"/>
    <pivotTable tabId="3" name="TablaDinámica3"/>
  </pivotTables>
  <data>
    <tabular pivotCacheId="1314544325">
      <items count="49">
        <i x="11" s="1"/>
        <i x="12"/>
        <i x="10"/>
        <i x="13"/>
        <i x="36" nd="1"/>
        <i x="23" nd="1"/>
        <i x="47" nd="1"/>
        <i x="34" nd="1"/>
        <i x="45" nd="1"/>
        <i x="38" nd="1"/>
        <i x="41" nd="1"/>
        <i x="5" nd="1"/>
        <i x="0" nd="1"/>
        <i x="9" nd="1"/>
        <i x="3" nd="1"/>
        <i x="42" nd="1"/>
        <i x="1" nd="1"/>
        <i x="2" nd="1"/>
        <i x="8" nd="1"/>
        <i x="6" nd="1"/>
        <i x="46" nd="1"/>
        <i x="7" nd="1"/>
        <i x="22" nd="1"/>
        <i x="19" nd="1"/>
        <i x="33" nd="1"/>
        <i x="21" nd="1"/>
        <i x="26" nd="1"/>
        <i x="24" nd="1"/>
        <i x="39" nd="1"/>
        <i x="17" nd="1"/>
        <i x="18" nd="1"/>
        <i x="14" nd="1"/>
        <i x="40" nd="1"/>
        <i x="25" nd="1"/>
        <i x="43" nd="1"/>
        <i x="31" nd="1"/>
        <i x="37" nd="1"/>
        <i x="28" nd="1"/>
        <i x="35" nd="1"/>
        <i x="27" nd="1"/>
        <i x="32" nd="1"/>
        <i x="15" nd="1"/>
        <i x="48" nd="1"/>
        <i x="16" nd="1"/>
        <i x="30" nd="1"/>
        <i x="44" nd="1"/>
        <i x="29" nd="1"/>
        <i x="20" nd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" xr10:uid="{980F47EB-212F-4058-9EB0-98A105448E82}" sourceName="Tipo ">
  <pivotTables>
    <pivotTable tabId="7" name="TablaDinámica9"/>
    <pivotTable tabId="3" name="TablaDinámica1"/>
  </pivotTables>
  <data>
    <tabular pivotCacheId="1314544325">
      <items count="5">
        <i x="2" s="1"/>
        <i x="0"/>
        <i x="3"/>
        <i x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1" xr10:uid="{DD989854-8851-438C-9DC8-4B09ED5790E0}" sourceName="Tipo ">
  <pivotTables>
    <pivotTable tabId="7" name="TablaDinámica1"/>
  </pivotTables>
  <data>
    <tabular pivotCacheId="1314544325">
      <items count="5">
        <i x="2"/>
        <i x="0" s="1"/>
        <i x="3"/>
        <i x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2" xr10:uid="{25262B41-793B-4FAC-9F0A-3215AB72A484}" sourceName="Tipo ">
  <pivotTables>
    <pivotTable tabId="7" name="TablaDinámica5"/>
    <pivotTable tabId="3" name="TablaDinámica4"/>
  </pivotTables>
  <data>
    <tabular pivotCacheId="1314544325">
      <items count="5">
        <i x="3" s="1"/>
        <i x="2" nd="1"/>
        <i x="0" nd="1"/>
        <i x="4" nd="1"/>
        <i x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3" xr10:uid="{867B5E22-8632-40B3-8EBA-6414A2FA3C2A}" sourceName="Tipo ">
  <pivotTables>
    <pivotTable tabId="7" name="TablaDinámica6"/>
    <pivotTable tabId="3" name="TablaDinámica3"/>
  </pivotTables>
  <data>
    <tabular pivotCacheId="1314544325">
      <items count="5">
        <i x="3"/>
        <i x="1" s="1"/>
        <i x="2" nd="1"/>
        <i x="0" nd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ite" xr10:uid="{41C48DFC-B6FC-40AB-AFFC-778E8A8EFFCA}" cache="SegmentaciónDeDatos_Site" caption="Site" columnCount="2" style="SlicerStyleLight4 5" rowHeight="241300"/>
  <slicer name="Indicador 3" xr10:uid="{162BCDA4-2D81-4D00-B268-01EEB168DCD2}" cache="SegmentaciónDeDatos_Indicador3" caption="Indicador" columnCount="4" style="SlicerStyleLight4 5" rowHeight="241300"/>
  <slicer name="Indicador 4" xr10:uid="{1134DE99-A0EA-48C4-9C1E-CCA9545CEEEB}" cache="SegmentaciónDeDatos_Indicador4" caption="Indicador" columnCount="3" style="SlicerStyleLight4 5" rowHeight="241300"/>
  <slicer name="Indicador" xr10:uid="{1A76317D-D064-4E9D-84A4-0B016EF0E13B}" cache="SegmentaciónDeDatos_Indicador" caption="Indicador" columnCount="3" style="SlicerStyleLight4 5" rowHeight="241300"/>
  <slicer name="Indicador 1" xr10:uid="{D58BB84B-B289-4AD4-8F07-ECD3B9D5DD4F}" cache="SegmentaciónDeDatos_Indicador1" caption="Indicador" columnCount="2" style="SlicerStyleLight4 5" rowHeight="241300"/>
  <slicer name="Tipo " xr10:uid="{0A4BFD96-7847-48FD-BF08-82B4454CA5A8}" cache="SegmentaciónDeDatos_Tipo" caption="Tipo " columnCount="2" style="SlicerStyleLight4 5" rowHeight="241300"/>
  <slicer name="Tipo  1" xr10:uid="{F7DF2E29-F3EE-4DCD-91D4-23BAF7534F80}" cache="SegmentaciónDeDatos_Tipo1" caption="Tipo " columnCount="2" style="SlicerStyleLight4 5" rowHeight="241300"/>
  <slicer name="Tipo  2" xr10:uid="{16BB5DBC-6E82-4A6E-B55E-620E70F4FCF1}" cache="SegmentaciónDeDatos_Tipo2" caption="Tipo " columnCount="2" style="SlicerStyleLight4 5" rowHeight="241300"/>
  <slicer name="Tipo  3" xr10:uid="{E24AF040-3181-4003-A706-5E7AA15445C2}" cache="SegmentaciónDeDatos_Tipo3" caption="Tipo " columnCount="2" style="SlicerStyleLight4 5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9D6F5F-EDB0-4510-88CE-98C8B0FB9F24}" name="Tabla1" displayName="Tabla1" ref="A1:AW9" totalsRowShown="0" headerRowDxfId="83">
  <autoFilter ref="A1:AW9" xr:uid="{1D8A8632-41F8-42DF-B3CB-FDD71243978C}"/>
  <tableColumns count="49">
    <tableColumn id="1" xr3:uid="{B10952AB-FA4F-46BA-AFD4-65244F47A32C}" name="Site" dataDxfId="82"/>
    <tableColumn id="2" xr3:uid="{F76BED6B-70AB-4603-A667-D4012F193FFE}" name="TMR Anual 2016" dataDxfId="81"/>
    <tableColumn id="3" xr3:uid="{552C099E-29CA-4C32-A67C-D85E714538B2}" name="TMR Anual 2017" dataDxfId="80"/>
    <tableColumn id="4" xr3:uid="{23B000E4-70B3-4644-B2DF-545A9B377916}" name="TMR Anual 2018" dataDxfId="79"/>
    <tableColumn id="5" xr3:uid="{44B042D5-AC96-4FD1-AA8B-F78C81727207}" name="TMR Anual 2019" dataDxfId="78"/>
    <tableColumn id="6" xr3:uid="{BDEBDA98-667E-4894-85AB-EB71F094C61C}" name="Capital Bodega anual 2016" dataDxfId="77"/>
    <tableColumn id="7" xr3:uid="{31766610-1023-405F-8822-A23A46A83E41}" name="Capital Bodega anual 2017" dataDxfId="76"/>
    <tableColumn id="8" xr3:uid="{B90CF209-BE3E-419B-9822-6922EDBCE42D}" name="Capital Bodega anual 2018" dataDxfId="75"/>
    <tableColumn id="9" xr3:uid="{A06BAE3B-75E7-4656-9B1D-EC23673FD415}" name="Capital Bodega anual 2019" dataDxfId="74"/>
    <tableColumn id="10" xr3:uid="{64068133-E0C2-4F0F-85F9-2E82D9E0B475}" name="Cda total admo 2016" dataDxfId="73"/>
    <tableColumn id="11" xr3:uid="{D2DB1892-F274-4635-A10D-48AAE91BDF14}" name="Cda total admo 2017" dataDxfId="72"/>
    <tableColumn id="12" xr3:uid="{141028A5-02DD-4E61-AD37-CA0E65FE2FD4}" name="Cda total admo 2018" dataDxfId="71"/>
    <tableColumn id="13" xr3:uid="{09D1EF23-8D4D-49F3-8EA7-60FF854C230A}" name="Cda total admo 2019" dataDxfId="70"/>
    <tableColumn id="14" xr3:uid="{5D2D8C42-E5D4-42F7-B696-BEB8D7F1C10A}" name="Cda total operacional 2016" dataDxfId="69"/>
    <tableColumn id="15" xr3:uid="{50DC1749-607F-4A67-A315-B6EB111D7D45}" name="Cda total operacional 2017" dataDxfId="68"/>
    <tableColumn id="16" xr3:uid="{A9AD1267-DED8-49E7-96AB-DEC448F69EB6}" name="Cda total operacional 2018" dataDxfId="67"/>
    <tableColumn id="17" xr3:uid="{75D12CA1-F56B-48B7-A996-B5AD63BC14DB}" name="Cda total operacional 2019" dataDxfId="66"/>
    <tableColumn id="18" xr3:uid="{27EAB7B1-2CCF-4F9E-8AE4-FEF9EFBE0689}" name="VPA 2016"/>
    <tableColumn id="19" xr3:uid="{ECF56F72-8788-4E51-85D7-6E1FBC64F456}" name="VPA 2017"/>
    <tableColumn id="20" xr3:uid="{4C86737E-97E8-4FF4-A66C-E5E1B89B45E6}" name="VPA 2018"/>
    <tableColumn id="21" xr3:uid="{FFAFDD4A-AD70-4950-BFBA-122933DA77FE}" name="VPA 2019"/>
    <tableColumn id="22" xr3:uid="{3D0FEE6A-173F-42AF-B562-7CF3707859AC}" name="Cantidad anual 2016" dataDxfId="65"/>
    <tableColumn id="23" xr3:uid="{648859F4-120E-4EC9-AC01-9E8DFF7449A3}" name="Cantidad anual 2017" dataDxfId="64"/>
    <tableColumn id="24" xr3:uid="{B7ECB417-4E26-4166-87D8-22C882995097}" name="Cantidad anual 2018" dataDxfId="63"/>
    <tableColumn id="25" xr3:uid="{F12EF6CA-EE32-4E8C-86E7-C42D2EE7798B}" name="Cantidad anual 2019" dataDxfId="62"/>
    <tableColumn id="26" xr3:uid="{BC65E687-F3A9-49DC-9EF4-A015D5DEF620}" name="Ingresos Total Bodega 2016" dataDxfId="61"/>
    <tableColumn id="27" xr3:uid="{01E280D5-9340-4309-A8BF-7548A67CA960}" name="Ingresos Total Bodega 2017" dataDxfId="60"/>
    <tableColumn id="28" xr3:uid="{0E3E4E0D-5D23-47AC-8E76-30E6D073DD2C}" name="Ingresos Total Bodega 2018" dataDxfId="59"/>
    <tableColumn id="29" xr3:uid="{FC3CC46B-5995-442C-845E-4059FBFF441B}" name="Ingresos Total Bodega 2019" dataDxfId="58"/>
    <tableColumn id="30" xr3:uid="{D7DF3627-0F4A-40B7-9E2F-B33D55F1B857}" name="Salidas toal Bodega 2016" dataDxfId="57"/>
    <tableColumn id="31" xr3:uid="{2CAF7D2C-13E4-4A49-912B-0D0CA3D2CB48}" name="Salidas toal Bodega 2017" dataDxfId="56"/>
    <tableColumn id="32" xr3:uid="{2AED8900-D726-4EB1-A6F1-E782B1FF54F1}" name="Salidas toal Bodega 2018" dataDxfId="55"/>
    <tableColumn id="33" xr3:uid="{DA5E9D78-31EE-4136-986A-0EC0A61F21EE}" name="Salidas toal Bodega 2019" dataDxfId="54"/>
    <tableColumn id="34" xr3:uid="{59716655-1A34-4C85-B85C-9810BA7508D8}" name="Ordenes Relizadas a site 2016" dataDxfId="53"/>
    <tableColumn id="35" xr3:uid="{C0F50BB3-43EF-4F71-801C-610759E3BEA8}" name="Ordenes Relizadas a site 2017" dataDxfId="52"/>
    <tableColumn id="36" xr3:uid="{F6010967-3013-42D9-8D76-41C0B3AD9CB2}" name="Ordenes Relizadas a site 2018" dataDxfId="51"/>
    <tableColumn id="37" xr3:uid="{A2FA5709-BA5C-420F-A12F-903B5B2438A1}" name="Ordenes Relizadas a site 2019" dataDxfId="50"/>
    <tableColumn id="38" xr3:uid="{FC61D5E7-0A2D-4709-B5EF-1B368B363BF8}" name="Devoluciones rechazos o averias" dataDxfId="49"/>
    <tableColumn id="39" xr3:uid="{799C56F7-4B6A-401B-B2CE-4803B3464E9C}" name="Devoluciones rechazos o averias2" dataDxfId="48"/>
    <tableColumn id="40" xr3:uid="{DC584BDA-3043-4A83-AA20-C05E7E11F26E}" name="Devoluciones rechazos o averias3" dataDxfId="47"/>
    <tableColumn id="41" xr3:uid="{A07463F0-8EE5-4275-9F58-28089B15F8D9}" name="Devoluciones rechazos o averias4" dataDxfId="46"/>
    <tableColumn id="42" xr3:uid="{4E5116DC-A696-4FE4-A745-8980AB72C0D3}" name="Averias de bodega anual 2016" dataDxfId="45"/>
    <tableColumn id="43" xr3:uid="{8929E1C6-0BB2-4E79-B5BC-BB136D5F84DE}" name="Averias de bodega anual 2017" dataDxfId="44"/>
    <tableColumn id="44" xr3:uid="{B514C3CF-FC9B-4588-8B3A-730F32A9D159}" name="Averias de bodega anual 2018" dataDxfId="43"/>
    <tableColumn id="45" xr3:uid="{F76F6BC3-6762-41F5-B0DA-3EB2AECCEDD6}" name="Averias de bodega anual 2019" dataDxfId="42"/>
    <tableColumn id="46" xr3:uid="{AE15B6B0-F22C-43C0-8A00-9124385E5438}" name="Rotacion de mercacion interacional 2016" dataDxfId="41"/>
    <tableColumn id="47" xr3:uid="{F058C272-8FAC-4DD4-A2FC-10AC15CAFA2B}" name="Rotacion de mercacion interacional 2017" dataDxfId="40"/>
    <tableColumn id="48" xr3:uid="{036B93B5-BAD8-4951-9857-9406904CE055}" name="Rotacion de mercacion interacional 2018" dataDxfId="39"/>
    <tableColumn id="49" xr3:uid="{D352E4C7-83B3-4C36-9750-BD95E23DC296}" name="Rotacion de mercacion interacional 2019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85F2DB-530A-4CB4-9D31-94CAAF9FBC7D}" name="Tabla2" displayName="Tabla2" ref="A19:H27" totalsRowShown="0" headerRowDxfId="37" dataDxfId="35" headerRowBorderDxfId="36" tableBorderDxfId="34" totalsRowBorderDxfId="33">
  <autoFilter ref="A19:H27" xr:uid="{940F1429-8F79-4B7C-A1EB-78A612B50D44}"/>
  <tableColumns count="8">
    <tableColumn id="1" xr3:uid="{9D403EB2-3ACA-4521-A85E-84E2DBF2912E}" name="Promedio entregas 2016 " dataDxfId="32"/>
    <tableColumn id="2" xr3:uid="{A9D8CF37-C19A-45DF-9842-F05696D82628}" name="Promedio entregas 2017" dataDxfId="31"/>
    <tableColumn id="3" xr3:uid="{C94FDD60-D5E2-45EA-9095-5C3B8F46872C}" name="Promedio entregas 2018" dataDxfId="30"/>
    <tableColumn id="4" xr3:uid="{D53A681A-344F-49CF-B7B0-6DFACDE75192}" name="Promedio entregas 2019" dataDxfId="29"/>
    <tableColumn id="5" xr3:uid="{289F31DD-025E-44E7-8F40-951B6FF2B89E}" name="Promedio entrgeas Exter 2016" dataDxfId="28"/>
    <tableColumn id="6" xr3:uid="{16BCDBA9-3FC5-48CD-9625-6742009118C0}" name="Promedio entrgeas Exter 2017" dataDxfId="27"/>
    <tableColumn id="7" xr3:uid="{BA309169-176A-4F6E-A808-856445D1D60A}" name="Promedio entrgeas Exter 2018" dataDxfId="26"/>
    <tableColumn id="8" xr3:uid="{7A869B62-52BF-488B-8E13-246F877355AB}" name="Promedio entrgeas Exter 2019" dataDxfId="2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FA5DC2-5E18-4E2C-931C-1F78CE79F4BD}" name="Tabla3" displayName="Tabla3" ref="A31:U39" totalsRowShown="0" headerRowDxfId="24" tableBorderDxfId="23">
  <autoFilter ref="A31:U39" xr:uid="{675A3EE0-63FE-4850-A337-4FAE9E514EBC}"/>
  <tableColumns count="21">
    <tableColumn id="1" xr3:uid="{EDB0BB28-8086-46C9-94D5-2BA95B0C1223}" name="Site" dataDxfId="22"/>
    <tableColumn id="2" xr3:uid="{9A9CA8C2-7BD1-473D-8C9D-E8A2547FEF8D}" name="Entregas efectuadas 2016" dataDxfId="21">
      <calculatedColumnFormula>V2</calculatedColumnFormula>
    </tableColumn>
    <tableColumn id="3" xr3:uid="{C33DE0B8-7681-4FA1-97EC-7B754F1F96C8}" name="Entregas efectuadas 2017" dataDxfId="20">
      <calculatedColumnFormula>W2</calculatedColumnFormula>
    </tableColumn>
    <tableColumn id="4" xr3:uid="{286D912E-AFD1-4CA4-9AE8-269A6782E330}" name="Entregas efectuadas 2018" dataDxfId="19">
      <calculatedColumnFormula>X2</calculatedColumnFormula>
    </tableColumn>
    <tableColumn id="5" xr3:uid="{062BCE98-2A4A-45AF-B0F7-AD308DFBC45F}" name="Entregas efectuadas 2019" dataDxfId="18">
      <calculatedColumnFormula>Y2</calculatedColumnFormula>
    </tableColumn>
    <tableColumn id="6" xr3:uid="{B0523FCF-9C88-4C64-9440-B7E6EA93ACCC}" name="Reclamacion de daño 2016" dataDxfId="17"/>
    <tableColumn id="7" xr3:uid="{5D8C6BED-50A2-487F-9612-F4231BE43CB0}" name="Reclamacion de daño 2017" dataDxfId="16"/>
    <tableColumn id="8" xr3:uid="{3EBBC03B-3823-4E88-8F7E-E79D54EC4D32}" name="Reclamacion de daño 2018" dataDxfId="15"/>
    <tableColumn id="9" xr3:uid="{C5E17C80-37F7-43C3-85EC-9B06F500592F}" name="Reclamacion de daño 2019" dataDxfId="14"/>
    <tableColumn id="10" xr3:uid="{DA47444C-A5A2-4E21-93E1-FDE3BB74136E}" name="Satisfaccion de BPO 2016" dataDxfId="13"/>
    <tableColumn id="11" xr3:uid="{B2FB509B-3381-4B4E-A177-B4F3A7955F96}" name="Satisfaccion de BPO 2017" dataDxfId="12"/>
    <tableColumn id="12" xr3:uid="{AEC47D78-C1C7-4E5C-83E9-207DC2FC959C}" name="Satisfaccion de BPO 2018" dataDxfId="11"/>
    <tableColumn id="13" xr3:uid="{BD9A414C-7B85-4E78-8060-B2863BAABAED}" name="Satisfaccion de BPO 2019" dataDxfId="10"/>
    <tableColumn id="14" xr3:uid="{F8ED9CE5-5E04-4A94-9C61-571A188E7633}" name="Satisfaccion de cliente 2016" dataDxfId="9"/>
    <tableColumn id="15" xr3:uid="{83AC039A-5758-44AF-8D53-63D5CFC826C1}" name="Satisfaccion de cliente 2017" dataDxfId="8"/>
    <tableColumn id="16" xr3:uid="{5F4C25AA-3F5B-46EE-9AA9-C5007D32C9E9}" name="Satisfaccion de cliente 2018" dataDxfId="7"/>
    <tableColumn id="17" xr3:uid="{6082DDF8-BFB0-4AB1-82B1-CB5A7D061CF4}" name="Satisfaccion de cliente 2019" dataDxfId="6"/>
    <tableColumn id="18" xr3:uid="{E9075458-B562-481E-8DF5-285888839551}" name="Retraso transporte outsourcing 2016" dataDxfId="5"/>
    <tableColumn id="19" xr3:uid="{F282007A-53FE-4E2F-A1DE-7463C97214B8}" name="Retraso transporte outsourcing 2017" dataDxfId="4"/>
    <tableColumn id="20" xr3:uid="{8CBE1F8E-A7D9-4E48-A16C-A5A2DBF57E07}" name="Retraso transporte outsourcing 2018" dataDxfId="3"/>
    <tableColumn id="21" xr3:uid="{6E53A238-DA16-420D-A397-F860920A7BCC}" name="Retraso transporte outsourcing 2019" dataDxfId="2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0EB5434-D2D5-4E10-B314-050B3BCAC26B}" name="Tabla9" displayName="Tabla9" ref="I42:P60" totalsRowShown="0" headerRowDxfId="1">
  <autoFilter ref="I42:P60" xr:uid="{209F935E-17F2-4D57-9A87-88118F8407EA}"/>
  <tableColumns count="8">
    <tableColumn id="1" xr3:uid="{21469333-5F31-4950-BA59-CD236227FBF4}" name="Índice cumplimiento transporte outsourcing por solicitudes realizadas 2016"/>
    <tableColumn id="2" xr3:uid="{05F9D2DA-DDF5-4EE8-BDF9-EA671B6B25A1}" name="Índice cumplimiento transporte outsourcing por solicitudes realizadas 2017"/>
    <tableColumn id="3" xr3:uid="{FE34DD53-C576-434A-803D-77B948B20B0A}" name="Índice cumplimiento transporte outsourcing por solicitudes realizadas 2018"/>
    <tableColumn id="4" xr3:uid="{A822C4F3-E6B4-44C9-9843-1999623474BB}" name="Índice cumplimiento transporte outsourcing por solicitudes realizadas 2019"/>
    <tableColumn id="5" xr3:uid="{EE41E13E-0AFE-4332-A276-5EEB99909252}" name="Costo de transporte tercerizado 2016" dataDxfId="0">
      <calculatedColumnFormula>(AH2*1)/I43</calculatedColumnFormula>
    </tableColumn>
    <tableColumn id="6" xr3:uid="{5FD5759E-41EF-4343-9093-69130FF4F40D}" name="Costo de transporte tercerizado 2017"/>
    <tableColumn id="7" xr3:uid="{6AA4ECB6-D04C-4DBA-9FC9-415C62F71BBF}" name="Costo de transporte tercerizado 2018"/>
    <tableColumn id="8" xr3:uid="{E185A506-F368-4C0B-ACD2-21F9080BBA92}" name="Costo de transporte tercerizado 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7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1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CA9E-904D-4CAA-9AAB-480310616A08}">
  <sheetPr codeName="Hoja1"/>
  <dimension ref="B1:K37"/>
  <sheetViews>
    <sheetView zoomScale="50" zoomScaleNormal="50" workbookViewId="0">
      <selection activeCell="G34" sqref="G34:H36"/>
    </sheetView>
  </sheetViews>
  <sheetFormatPr baseColWidth="10" defaultRowHeight="15" x14ac:dyDescent="0.25"/>
  <cols>
    <col min="1" max="1" width="21.85546875" bestFit="1" customWidth="1"/>
    <col min="2" max="2" width="19.85546875" customWidth="1"/>
    <col min="3" max="3" width="20.140625" customWidth="1"/>
    <col min="4" max="4" width="21.28515625" customWidth="1"/>
    <col min="5" max="5" width="20.140625" customWidth="1"/>
    <col min="6" max="6" width="21" customWidth="1"/>
    <col min="7" max="7" width="35.5703125" customWidth="1"/>
    <col min="8" max="8" width="17.42578125" customWidth="1"/>
    <col min="9" max="10" width="18.7109375" bestFit="1" customWidth="1"/>
    <col min="11" max="11" width="18" customWidth="1"/>
    <col min="12" max="12" width="14.85546875" bestFit="1" customWidth="1"/>
  </cols>
  <sheetData>
    <row r="1" spans="5:11" s="4" customFormat="1" x14ac:dyDescent="0.25"/>
    <row r="2" spans="5:11" s="4" customFormat="1" ht="27.75" customHeight="1" x14ac:dyDescent="0.25">
      <c r="G2"/>
      <c r="H2" s="86" t="s">
        <v>130</v>
      </c>
      <c r="I2" s="86"/>
      <c r="J2" s="86"/>
      <c r="K2"/>
    </row>
    <row r="3" spans="5:11" s="4" customFormat="1" x14ac:dyDescent="0.25">
      <c r="E3"/>
      <c r="G3"/>
      <c r="H3"/>
      <c r="I3"/>
      <c r="J3"/>
      <c r="K3"/>
    </row>
    <row r="4" spans="5:11" ht="23.25" x14ac:dyDescent="0.35">
      <c r="G4" s="87" t="str">
        <f>Dinamicas!AD5</f>
        <v>Costo de almacén por unidad</v>
      </c>
      <c r="H4" s="87"/>
      <c r="I4" s="87"/>
    </row>
    <row r="5" spans="5:11" x14ac:dyDescent="0.25">
      <c r="G5" s="39" t="s">
        <v>3</v>
      </c>
      <c r="H5" s="39">
        <v>2016</v>
      </c>
      <c r="I5" s="39">
        <v>2016</v>
      </c>
      <c r="J5" s="39">
        <v>2016</v>
      </c>
      <c r="K5" s="39">
        <v>2016</v>
      </c>
    </row>
    <row r="6" spans="5:11" x14ac:dyDescent="0.25">
      <c r="G6" s="5" t="str">
        <f>Dinamicas!AD4</f>
        <v>Icp Bogotá</v>
      </c>
      <c r="H6" s="63">
        <f>Dinamicas!AE15</f>
        <v>0.83687956981164902</v>
      </c>
      <c r="I6" s="63">
        <f>Dinamicas!AF15</f>
        <v>2.2316788528310645</v>
      </c>
      <c r="J6" s="63">
        <f>Dinamicas!AG15</f>
        <v>1.7853430822648517</v>
      </c>
      <c r="K6" s="63">
        <f>Dinamicas!AH15</f>
        <v>0.71413723290594067</v>
      </c>
    </row>
    <row r="8" spans="5:11" x14ac:dyDescent="0.25">
      <c r="G8" s="81" t="s">
        <v>246</v>
      </c>
      <c r="H8" s="81"/>
      <c r="I8" s="82">
        <f>Dinamicas!AI15</f>
        <v>1.3950224509046985</v>
      </c>
      <c r="J8" s="82"/>
      <c r="K8" s="82"/>
    </row>
    <row r="9" spans="5:11" x14ac:dyDescent="0.25">
      <c r="G9" s="81"/>
      <c r="H9" s="81"/>
      <c r="I9" s="82"/>
      <c r="J9" s="82"/>
      <c r="K9" s="82"/>
    </row>
    <row r="10" spans="5:11" x14ac:dyDescent="0.25">
      <c r="G10" s="81"/>
      <c r="H10" s="81"/>
      <c r="I10" s="82"/>
      <c r="J10" s="82"/>
      <c r="K10" s="82"/>
    </row>
    <row r="11" spans="5:11" x14ac:dyDescent="0.25">
      <c r="G11" s="4"/>
      <c r="H11" s="27"/>
      <c r="I11" s="4"/>
      <c r="J11" s="27"/>
    </row>
    <row r="12" spans="5:11" ht="25.5" x14ac:dyDescent="0.25">
      <c r="G12" s="4"/>
      <c r="H12" s="86" t="s">
        <v>100</v>
      </c>
      <c r="I12" s="86"/>
      <c r="J12" s="86"/>
      <c r="K12" s="4"/>
    </row>
    <row r="13" spans="5:11" x14ac:dyDescent="0.25">
      <c r="H13" s="4"/>
      <c r="I13" s="4"/>
      <c r="J13" s="4"/>
      <c r="K13" s="4"/>
    </row>
    <row r="14" spans="5:11" ht="23.25" x14ac:dyDescent="0.35">
      <c r="G14" s="80" t="str">
        <f>Dinamicas!N5</f>
        <v>Rotación Productos internacionales</v>
      </c>
      <c r="H14" s="80"/>
      <c r="I14" s="80"/>
      <c r="J14" s="3"/>
      <c r="K14" s="3"/>
    </row>
    <row r="15" spans="5:11" ht="15.75" x14ac:dyDescent="0.25">
      <c r="G15" s="43" t="s">
        <v>3</v>
      </c>
      <c r="H15" s="43">
        <v>2016</v>
      </c>
      <c r="I15" s="43">
        <v>2016</v>
      </c>
      <c r="J15" s="43">
        <v>2016</v>
      </c>
      <c r="K15" s="43">
        <v>2016</v>
      </c>
    </row>
    <row r="16" spans="5:11" ht="15.75" x14ac:dyDescent="0.25">
      <c r="G16" s="5" t="str">
        <f>Dinamicas!N4</f>
        <v>Icp Bogotá</v>
      </c>
      <c r="H16" s="44">
        <f>Dinamicas!O13</f>
        <v>9.4347826086956523</v>
      </c>
      <c r="I16" s="51">
        <f>Dinamicas!P13</f>
        <v>10.802721088435373</v>
      </c>
      <c r="J16" s="44">
        <f>Dinamicas!Q13</f>
        <v>10.944444444444443</v>
      </c>
      <c r="K16" s="44">
        <f>Dinamicas!R13</f>
        <v>9.0505050505050519</v>
      </c>
    </row>
    <row r="17" spans="2:11" x14ac:dyDescent="0.25">
      <c r="G17" s="4"/>
      <c r="H17" s="4"/>
      <c r="J17" s="4"/>
      <c r="K17" s="4"/>
    </row>
    <row r="18" spans="2:11" ht="15" customHeight="1" x14ac:dyDescent="0.25">
      <c r="G18" s="81" t="s">
        <v>246</v>
      </c>
      <c r="H18" s="81"/>
      <c r="I18" s="83">
        <f>Dinamicas!S13</f>
        <v>10.116892079624998</v>
      </c>
      <c r="J18" s="83"/>
      <c r="K18" s="83"/>
    </row>
    <row r="19" spans="2:11" ht="15" customHeight="1" x14ac:dyDescent="0.25">
      <c r="G19" s="81"/>
      <c r="H19" s="81"/>
      <c r="I19" s="83"/>
      <c r="J19" s="83"/>
      <c r="K19" s="83"/>
    </row>
    <row r="20" spans="2:11" ht="15" customHeight="1" x14ac:dyDescent="0.25">
      <c r="G20" s="81"/>
      <c r="H20" s="81"/>
      <c r="I20" s="83"/>
      <c r="J20" s="83"/>
      <c r="K20" s="83"/>
    </row>
    <row r="21" spans="2:11" x14ac:dyDescent="0.25">
      <c r="D21" s="9"/>
      <c r="E21" s="9"/>
      <c r="F21" s="9"/>
      <c r="G21" s="57" t="s">
        <v>156</v>
      </c>
      <c r="H21" s="56">
        <v>1</v>
      </c>
      <c r="I21" s="8">
        <f>'Fuente dinamicas'!X20</f>
        <v>10.094496428347361</v>
      </c>
      <c r="J21" s="56">
        <v>1.5</v>
      </c>
      <c r="K21" s="8">
        <f>'Fuente dinamicas'!Y20</f>
        <v>8.0464906384161043</v>
      </c>
    </row>
    <row r="22" spans="2:11" s="4" customFormat="1" ht="25.5" x14ac:dyDescent="0.25">
      <c r="D22" s="9"/>
      <c r="E22" s="9"/>
      <c r="F22" s="9"/>
      <c r="H22" s="86" t="s">
        <v>88</v>
      </c>
      <c r="I22" s="86"/>
      <c r="J22" s="86"/>
    </row>
    <row r="23" spans="2:11" x14ac:dyDescent="0.25">
      <c r="D23" s="9"/>
      <c r="E23" s="9"/>
      <c r="F23" s="9"/>
      <c r="G23" s="4"/>
      <c r="H23" s="4"/>
      <c r="I23" s="4"/>
      <c r="J23" s="4"/>
      <c r="K23" s="4"/>
    </row>
    <row r="24" spans="2:11" ht="23.25" x14ac:dyDescent="0.35">
      <c r="D24" s="9"/>
      <c r="E24" s="9"/>
      <c r="F24" s="9"/>
      <c r="G24" s="80" t="str">
        <f>Dinamicas!E5</f>
        <v>Pedidos con averías o incidencias</v>
      </c>
      <c r="H24" s="80"/>
      <c r="I24" s="80"/>
      <c r="J24" s="3"/>
      <c r="K24" s="3"/>
    </row>
    <row r="25" spans="2:11" ht="15.75" x14ac:dyDescent="0.25">
      <c r="D25" s="9"/>
      <c r="E25" s="9"/>
      <c r="F25" s="9"/>
      <c r="G25" s="43" t="s">
        <v>3</v>
      </c>
      <c r="H25" s="43">
        <v>2016</v>
      </c>
      <c r="I25" s="43">
        <v>2016</v>
      </c>
      <c r="J25" s="43">
        <v>2016</v>
      </c>
      <c r="K25" s="43">
        <v>2016</v>
      </c>
    </row>
    <row r="26" spans="2:11" ht="15.75" x14ac:dyDescent="0.25">
      <c r="D26" s="9"/>
      <c r="E26" s="9"/>
      <c r="F26" s="9"/>
      <c r="G26" s="41" t="str">
        <f>Dinamicas!E4</f>
        <v>Icp Bogotá</v>
      </c>
      <c r="H26" s="42">
        <f>Dinamicas!F13</f>
        <v>2.0199999999999999E-2</v>
      </c>
      <c r="I26" s="42">
        <f>Dinamicas!G13</f>
        <v>1.9900000000000001E-2</v>
      </c>
      <c r="J26" s="42">
        <f>Dinamicas!H13</f>
        <v>1.9800000000000002E-2</v>
      </c>
      <c r="K26" s="42">
        <f>Dinamicas!I13</f>
        <v>2.1000000000000001E-2</v>
      </c>
    </row>
    <row r="28" spans="2:11" ht="15" customHeight="1" x14ac:dyDescent="0.25">
      <c r="G28" s="81" t="s">
        <v>246</v>
      </c>
      <c r="H28" s="81"/>
      <c r="I28" s="84">
        <f>Dinamicas!J13</f>
        <v>2.0226000000000004E-2</v>
      </c>
      <c r="J28" s="84"/>
      <c r="K28" s="84"/>
    </row>
    <row r="29" spans="2:11" ht="15" customHeight="1" x14ac:dyDescent="0.25">
      <c r="G29" s="81"/>
      <c r="H29" s="81"/>
      <c r="I29" s="84"/>
      <c r="J29" s="84"/>
      <c r="K29" s="84"/>
    </row>
    <row r="30" spans="2:11" ht="15" customHeight="1" x14ac:dyDescent="0.25">
      <c r="G30" s="81"/>
      <c r="H30" s="81"/>
      <c r="I30" s="84"/>
      <c r="J30" s="84"/>
      <c r="K30" s="84"/>
    </row>
    <row r="31" spans="2:11" x14ac:dyDescent="0.25">
      <c r="G31" s="57" t="s">
        <v>156</v>
      </c>
      <c r="H31" s="56">
        <v>1</v>
      </c>
      <c r="I31" s="29">
        <f>'Fuente dinamicas'!Q20</f>
        <v>1.933E-2</v>
      </c>
      <c r="J31" s="56">
        <v>1.5</v>
      </c>
      <c r="K31" s="29">
        <f>'Fuente dinamicas'!P20</f>
        <v>1.618E-2</v>
      </c>
    </row>
    <row r="32" spans="2:11" ht="26.25" customHeight="1" x14ac:dyDescent="0.25">
      <c r="B32" s="4"/>
      <c r="E32" s="86" t="s">
        <v>87</v>
      </c>
      <c r="F32" s="86"/>
      <c r="G32" s="86"/>
    </row>
    <row r="33" spans="2:11" x14ac:dyDescent="0.25">
      <c r="B33" s="4"/>
      <c r="C33" s="4"/>
      <c r="D33" s="4"/>
      <c r="E33" s="4"/>
      <c r="F33" s="4"/>
    </row>
    <row r="34" spans="2:11" ht="23.25" customHeight="1" x14ac:dyDescent="0.35">
      <c r="B34" s="80" t="str">
        <f>Dinamicas!V5</f>
        <v>Ciclo de orden de compra (internacional)</v>
      </c>
      <c r="C34" s="80"/>
      <c r="D34" s="80"/>
      <c r="E34" s="46"/>
      <c r="F34" s="46"/>
      <c r="G34" s="81" t="s">
        <v>246</v>
      </c>
      <c r="H34" s="81"/>
      <c r="I34" s="85">
        <f>Dinamicas!AA13</f>
        <v>17.011199999999999</v>
      </c>
      <c r="J34" s="85"/>
      <c r="K34" s="85"/>
    </row>
    <row r="35" spans="2:11" ht="15.75" customHeight="1" x14ac:dyDescent="0.25">
      <c r="B35" s="45" t="s">
        <v>3</v>
      </c>
      <c r="C35" s="45">
        <v>2016</v>
      </c>
      <c r="D35" s="45">
        <v>2016</v>
      </c>
      <c r="E35" s="45">
        <v>2016</v>
      </c>
      <c r="F35" s="45">
        <v>2016</v>
      </c>
      <c r="G35" s="81"/>
      <c r="H35" s="81"/>
      <c r="I35" s="85"/>
      <c r="J35" s="85"/>
      <c r="K35" s="85"/>
    </row>
    <row r="36" spans="2:11" ht="15.75" customHeight="1" x14ac:dyDescent="0.25">
      <c r="B36" s="41" t="str">
        <f>Dinamicas!V4</f>
        <v>Icp Bogotá</v>
      </c>
      <c r="C36" s="44">
        <f>Dinamicas!W13</f>
        <v>16.78</v>
      </c>
      <c r="D36" s="44">
        <f>Dinamicas!X13</f>
        <v>16.86</v>
      </c>
      <c r="E36" s="44">
        <f>Dinamicas!Y13</f>
        <v>17.11</v>
      </c>
      <c r="F36" s="44">
        <f>Dinamicas!Z13</f>
        <v>17.13</v>
      </c>
      <c r="G36" s="81"/>
      <c r="H36" s="81"/>
      <c r="I36" s="85"/>
      <c r="J36" s="85"/>
      <c r="K36" s="85"/>
    </row>
    <row r="37" spans="2:11" x14ac:dyDescent="0.25">
      <c r="G37" s="57" t="s">
        <v>156</v>
      </c>
      <c r="H37" s="56">
        <v>1</v>
      </c>
      <c r="I37" s="4">
        <f>'Fuente dinamicas'!T20</f>
        <v>16.88</v>
      </c>
      <c r="J37" s="56">
        <v>1.5</v>
      </c>
      <c r="K37">
        <f>'Fuente dinamicas'!U20</f>
        <v>10.212</v>
      </c>
    </row>
  </sheetData>
  <mergeCells count="16">
    <mergeCell ref="G4:I4"/>
    <mergeCell ref="H2:J2"/>
    <mergeCell ref="H12:J12"/>
    <mergeCell ref="G14:I14"/>
    <mergeCell ref="G24:I24"/>
    <mergeCell ref="H22:J22"/>
    <mergeCell ref="B34:D34"/>
    <mergeCell ref="G8:H10"/>
    <mergeCell ref="I8:K10"/>
    <mergeCell ref="G18:H20"/>
    <mergeCell ref="I18:K20"/>
    <mergeCell ref="G28:H30"/>
    <mergeCell ref="I28:K30"/>
    <mergeCell ref="G34:H36"/>
    <mergeCell ref="I34:K36"/>
    <mergeCell ref="E32:G3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88C3-BD12-4A09-8E31-E4146BF02A4C}">
  <sheetPr codeName="Hoja2"/>
  <dimension ref="A1:E34"/>
  <sheetViews>
    <sheetView workbookViewId="0">
      <selection activeCell="B9" sqref="B1:B9"/>
    </sheetView>
  </sheetViews>
  <sheetFormatPr baseColWidth="10" defaultRowHeight="15" x14ac:dyDescent="0.25"/>
  <cols>
    <col min="1" max="1" width="17.5703125" bestFit="1" customWidth="1"/>
    <col min="2" max="5" width="33.5703125" bestFit="1" customWidth="1"/>
    <col min="6" max="6" width="11.140625" bestFit="1" customWidth="1"/>
    <col min="7" max="7" width="19.140625" customWidth="1"/>
  </cols>
  <sheetData>
    <row r="1" spans="1:5" x14ac:dyDescent="0.25">
      <c r="A1" s="30" t="s">
        <v>196</v>
      </c>
      <c r="B1" s="4" t="s">
        <v>200</v>
      </c>
    </row>
    <row r="3" spans="1:5" x14ac:dyDescent="0.25">
      <c r="A3" s="30" t="s">
        <v>80</v>
      </c>
      <c r="B3" s="4" t="s">
        <v>232</v>
      </c>
      <c r="C3" s="4" t="s">
        <v>233</v>
      </c>
      <c r="D3" s="4" t="s">
        <v>234</v>
      </c>
      <c r="E3" s="4" t="s">
        <v>235</v>
      </c>
    </row>
    <row r="4" spans="1:5" x14ac:dyDescent="0.25">
      <c r="A4" s="31" t="s">
        <v>188</v>
      </c>
      <c r="B4" s="28">
        <v>0.91010000000000002</v>
      </c>
      <c r="C4" s="28">
        <v>0.97970000000000013</v>
      </c>
      <c r="D4" s="28">
        <v>0.90400000000000003</v>
      </c>
      <c r="E4" s="28">
        <v>0.98029999999999995</v>
      </c>
    </row>
    <row r="5" spans="1:5" x14ac:dyDescent="0.25">
      <c r="A5" s="31" t="s">
        <v>199</v>
      </c>
      <c r="B5" s="28">
        <v>0.95960000000000001</v>
      </c>
      <c r="C5" s="28">
        <v>0.98099999999999998</v>
      </c>
      <c r="D5" s="28">
        <v>0.98019999999999996</v>
      </c>
      <c r="E5" s="28">
        <v>0.97930000000000006</v>
      </c>
    </row>
    <row r="6" spans="1:5" x14ac:dyDescent="0.25">
      <c r="A6" s="31" t="s">
        <v>189</v>
      </c>
      <c r="B6" s="28">
        <v>0.97980000000000012</v>
      </c>
      <c r="C6" s="28">
        <v>0.93400000000000005</v>
      </c>
      <c r="D6" s="28">
        <v>0.97970000000000013</v>
      </c>
      <c r="E6" s="28">
        <v>0.97903333333333353</v>
      </c>
    </row>
    <row r="7" spans="1:5" x14ac:dyDescent="0.25">
      <c r="A7" s="31" t="s">
        <v>193</v>
      </c>
      <c r="B7" s="28">
        <v>0.96</v>
      </c>
      <c r="C7" s="28">
        <v>0.98070000000000002</v>
      </c>
      <c r="D7" s="28">
        <v>0.98119999999999996</v>
      </c>
      <c r="E7" s="28">
        <v>0.98065000000000002</v>
      </c>
    </row>
    <row r="8" spans="1:5" x14ac:dyDescent="0.25">
      <c r="A8" s="31" t="s">
        <v>194</v>
      </c>
      <c r="B8" s="28">
        <v>0.98019999999999996</v>
      </c>
      <c r="C8" s="28">
        <v>0.9234</v>
      </c>
      <c r="D8" s="28">
        <v>0.92969999999999997</v>
      </c>
      <c r="E8" s="28">
        <v>0.91979999999999995</v>
      </c>
    </row>
    <row r="9" spans="1:5" x14ac:dyDescent="0.25">
      <c r="A9" s="31" t="s">
        <v>191</v>
      </c>
      <c r="B9" s="28">
        <v>0.97933333333333339</v>
      </c>
      <c r="C9" s="28">
        <v>0.874</v>
      </c>
      <c r="D9" s="28">
        <v>0.97950000000000015</v>
      </c>
      <c r="E9" s="28">
        <v>0.96860000000000002</v>
      </c>
    </row>
    <row r="10" spans="1:5" x14ac:dyDescent="0.25">
      <c r="A10" s="31" t="s">
        <v>192</v>
      </c>
      <c r="B10" s="28">
        <v>0.9204</v>
      </c>
      <c r="C10" s="28">
        <v>0.95089999999999997</v>
      </c>
      <c r="D10" s="28">
        <v>0.89700000000000002</v>
      </c>
      <c r="E10" s="28">
        <v>0.98080000000000001</v>
      </c>
    </row>
    <row r="11" spans="1:5" x14ac:dyDescent="0.25">
      <c r="A11" s="31" t="s">
        <v>190</v>
      </c>
      <c r="B11" s="28">
        <v>0.98019999999999996</v>
      </c>
      <c r="C11" s="28">
        <v>0.96140000000000003</v>
      </c>
      <c r="D11" s="28">
        <v>0.97830000000000017</v>
      </c>
      <c r="E11" s="28">
        <v>0.90859999999999996</v>
      </c>
    </row>
    <row r="12" spans="1:5" x14ac:dyDescent="0.25">
      <c r="A12" s="31" t="s">
        <v>81</v>
      </c>
      <c r="B12" s="28">
        <v>0.95870416666666658</v>
      </c>
      <c r="C12" s="28">
        <v>0.94813749999999997</v>
      </c>
      <c r="D12" s="28">
        <v>0.95369999999999999</v>
      </c>
      <c r="E12" s="28">
        <v>0.96213541666666669</v>
      </c>
    </row>
    <row r="15" spans="1:5" x14ac:dyDescent="0.25">
      <c r="C15" s="75" t="s">
        <v>236</v>
      </c>
      <c r="D15" s="75" t="s">
        <v>237</v>
      </c>
    </row>
    <row r="16" spans="1:5" x14ac:dyDescent="0.25">
      <c r="C16" s="76" t="s">
        <v>178</v>
      </c>
      <c r="D16" s="76" t="s">
        <v>168</v>
      </c>
    </row>
    <row r="17" spans="3:4" x14ac:dyDescent="0.25">
      <c r="C17" s="77" t="s">
        <v>162</v>
      </c>
      <c r="D17" s="77" t="s">
        <v>144</v>
      </c>
    </row>
    <row r="18" spans="3:4" x14ac:dyDescent="0.25">
      <c r="C18" s="77" t="s">
        <v>2</v>
      </c>
      <c r="D18" s="77" t="s">
        <v>183</v>
      </c>
    </row>
    <row r="19" spans="3:4" x14ac:dyDescent="0.25">
      <c r="C19" s="77" t="s">
        <v>131</v>
      </c>
      <c r="D19" s="77" t="s">
        <v>75</v>
      </c>
    </row>
    <row r="20" spans="3:4" x14ac:dyDescent="0.25">
      <c r="C20" s="77" t="s">
        <v>40</v>
      </c>
      <c r="D20" s="77" t="s">
        <v>171</v>
      </c>
    </row>
    <row r="21" spans="3:4" x14ac:dyDescent="0.25">
      <c r="C21" s="77" t="s">
        <v>39</v>
      </c>
      <c r="D21" s="77" t="s">
        <v>170</v>
      </c>
    </row>
    <row r="22" spans="3:4" ht="24.75" x14ac:dyDescent="0.25">
      <c r="C22" s="77" t="s">
        <v>173</v>
      </c>
      <c r="D22" s="77" t="s">
        <v>172</v>
      </c>
    </row>
    <row r="23" spans="3:4" x14ac:dyDescent="0.25">
      <c r="C23" s="77" t="s">
        <v>95</v>
      </c>
      <c r="D23" s="77" t="s">
        <v>145</v>
      </c>
    </row>
    <row r="24" spans="3:4" x14ac:dyDescent="0.25">
      <c r="C24" s="77" t="s">
        <v>169</v>
      </c>
      <c r="D24" s="77" t="s">
        <v>175</v>
      </c>
    </row>
    <row r="25" spans="3:4" x14ac:dyDescent="0.25">
      <c r="C25" s="77" t="s">
        <v>90</v>
      </c>
      <c r="D25" s="77" t="s">
        <v>151</v>
      </c>
    </row>
    <row r="26" spans="3:4" ht="24.75" x14ac:dyDescent="0.25">
      <c r="C26" s="77" t="s">
        <v>124</v>
      </c>
      <c r="D26" s="77" t="s">
        <v>177</v>
      </c>
    </row>
    <row r="27" spans="3:4" x14ac:dyDescent="0.25">
      <c r="C27" s="77" t="s">
        <v>129</v>
      </c>
      <c r="D27" s="77" t="s">
        <v>122</v>
      </c>
    </row>
    <row r="28" spans="3:4" x14ac:dyDescent="0.25">
      <c r="C28" s="77" t="s">
        <v>101</v>
      </c>
      <c r="D28" s="77" t="s">
        <v>176</v>
      </c>
    </row>
    <row r="29" spans="3:4" x14ac:dyDescent="0.25">
      <c r="C29" s="77" t="s">
        <v>66</v>
      </c>
      <c r="D29" s="77" t="s">
        <v>49</v>
      </c>
    </row>
    <row r="30" spans="3:4" x14ac:dyDescent="0.25">
      <c r="C30" s="77"/>
      <c r="D30" s="77" t="s">
        <v>150</v>
      </c>
    </row>
    <row r="31" spans="3:4" x14ac:dyDescent="0.25">
      <c r="C31" s="77"/>
      <c r="D31" s="77" t="s">
        <v>167</v>
      </c>
    </row>
    <row r="32" spans="3:4" x14ac:dyDescent="0.25">
      <c r="C32" s="77"/>
      <c r="D32" s="77" t="s">
        <v>165</v>
      </c>
    </row>
    <row r="33" spans="3:4" x14ac:dyDescent="0.25">
      <c r="C33" s="77"/>
      <c r="D33" s="77" t="s">
        <v>166</v>
      </c>
    </row>
    <row r="34" spans="3:4" x14ac:dyDescent="0.25">
      <c r="C34" s="78"/>
      <c r="D34" s="78" t="s">
        <v>201</v>
      </c>
    </row>
  </sheetData>
  <conditionalFormatting sqref="D16:D34">
    <cfRule type="duplicateValues" dxfId="119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F467-105D-4592-950D-14B61ED9BA58}">
  <sheetPr codeName="Hoja3"/>
  <dimension ref="A1:O104"/>
  <sheetViews>
    <sheetView workbookViewId="0">
      <selection activeCell="B57" sqref="B57"/>
    </sheetView>
  </sheetViews>
  <sheetFormatPr baseColWidth="10" defaultRowHeight="15" x14ac:dyDescent="0.25"/>
  <cols>
    <col min="1" max="1" width="17.5703125" bestFit="1" customWidth="1"/>
    <col min="2" max="5" width="33.5703125" bestFit="1" customWidth="1"/>
    <col min="6" max="7" width="22.85546875" bestFit="1" customWidth="1"/>
    <col min="9" max="9" width="33.42578125" bestFit="1" customWidth="1"/>
    <col min="10" max="10" width="16.28515625" bestFit="1" customWidth="1"/>
    <col min="11" max="11" width="12.85546875" bestFit="1" customWidth="1"/>
    <col min="12" max="14" width="12.42578125" bestFit="1" customWidth="1"/>
    <col min="15" max="15" width="19.28515625" customWidth="1"/>
  </cols>
  <sheetData>
    <row r="1" spans="1:5" x14ac:dyDescent="0.25">
      <c r="A1" s="30" t="s">
        <v>196</v>
      </c>
      <c r="B1" s="4" t="s">
        <v>197</v>
      </c>
    </row>
    <row r="3" spans="1:5" x14ac:dyDescent="0.25">
      <c r="A3" s="30" t="s">
        <v>80</v>
      </c>
      <c r="B3" s="4" t="s">
        <v>232</v>
      </c>
      <c r="C3" s="4" t="s">
        <v>233</v>
      </c>
      <c r="D3" s="4" t="s">
        <v>234</v>
      </c>
      <c r="E3" s="4" t="s">
        <v>235</v>
      </c>
    </row>
    <row r="4" spans="1:5" x14ac:dyDescent="0.25">
      <c r="A4" s="31" t="s">
        <v>188</v>
      </c>
      <c r="B4" s="27">
        <v>0.97130000000000005</v>
      </c>
      <c r="C4" s="27">
        <v>1</v>
      </c>
      <c r="D4" s="27">
        <v>0.99580000000000002</v>
      </c>
      <c r="E4" s="27">
        <v>0.97199999999999998</v>
      </c>
    </row>
    <row r="5" spans="1:5" x14ac:dyDescent="0.25">
      <c r="A5" s="31" t="s">
        <v>189</v>
      </c>
      <c r="B5" s="27">
        <v>0.99780000000000002</v>
      </c>
      <c r="C5" s="27">
        <v>0.99839999999999995</v>
      </c>
      <c r="D5" s="27">
        <v>0.99919999999999998</v>
      </c>
      <c r="E5" s="27">
        <v>0.998</v>
      </c>
    </row>
    <row r="6" spans="1:5" x14ac:dyDescent="0.25">
      <c r="A6" s="31" t="s">
        <v>193</v>
      </c>
      <c r="B6" s="27">
        <v>0.92349999999999999</v>
      </c>
      <c r="C6" s="27">
        <v>0.91180000000000005</v>
      </c>
      <c r="D6" s="27">
        <v>0.91759999999999997</v>
      </c>
      <c r="E6" s="27">
        <v>0.9335</v>
      </c>
    </row>
    <row r="7" spans="1:5" x14ac:dyDescent="0.25">
      <c r="A7" s="31" t="s">
        <v>198</v>
      </c>
      <c r="B7" s="27">
        <v>0.93630000000000002</v>
      </c>
      <c r="C7" s="27">
        <v>0.97</v>
      </c>
      <c r="D7" s="27">
        <v>0.97019999999999995</v>
      </c>
      <c r="E7" s="27">
        <v>0.95320000000000005</v>
      </c>
    </row>
    <row r="8" spans="1:5" x14ac:dyDescent="0.25">
      <c r="A8" s="31" t="s">
        <v>191</v>
      </c>
      <c r="B8" s="27">
        <v>0.97</v>
      </c>
      <c r="C8" s="27">
        <v>1</v>
      </c>
      <c r="D8" s="27">
        <v>1</v>
      </c>
      <c r="E8" s="27">
        <v>0.96599999999999997</v>
      </c>
    </row>
    <row r="9" spans="1:5" x14ac:dyDescent="0.25">
      <c r="A9" s="31" t="s">
        <v>192</v>
      </c>
      <c r="B9" s="27">
        <v>1</v>
      </c>
      <c r="C9" s="27">
        <v>0.98980000000000001</v>
      </c>
      <c r="D9" s="27">
        <v>0.99490000000000001</v>
      </c>
      <c r="E9" s="27">
        <v>1</v>
      </c>
    </row>
    <row r="10" spans="1:5" x14ac:dyDescent="0.25">
      <c r="A10" s="31" t="s">
        <v>190</v>
      </c>
      <c r="B10" s="27">
        <v>0.98329999999999995</v>
      </c>
      <c r="C10" s="27">
        <v>0.97</v>
      </c>
      <c r="D10" s="27">
        <v>0.92500000000000004</v>
      </c>
      <c r="E10" s="27">
        <v>0.95279999999999998</v>
      </c>
    </row>
    <row r="11" spans="1:5" x14ac:dyDescent="0.25">
      <c r="A11" s="31" t="s">
        <v>199</v>
      </c>
      <c r="B11" s="27">
        <v>0.98750000000000004</v>
      </c>
      <c r="C11" s="27">
        <v>0.98</v>
      </c>
      <c r="D11" s="27">
        <v>0.94379999999999997</v>
      </c>
      <c r="E11" s="27">
        <v>1</v>
      </c>
    </row>
    <row r="12" spans="1:5" x14ac:dyDescent="0.25">
      <c r="A12" s="31" t="s">
        <v>81</v>
      </c>
      <c r="B12" s="27">
        <v>0.97121249999999992</v>
      </c>
      <c r="C12" s="27">
        <v>0.97750000000000004</v>
      </c>
      <c r="D12" s="27">
        <v>0.96831250000000013</v>
      </c>
      <c r="E12" s="27">
        <v>0.97193750000000001</v>
      </c>
    </row>
    <row r="18" spans="2:2" x14ac:dyDescent="0.25">
      <c r="B18" s="30" t="s">
        <v>80</v>
      </c>
    </row>
    <row r="19" spans="2:2" x14ac:dyDescent="0.25">
      <c r="B19" s="31" t="s">
        <v>168</v>
      </c>
    </row>
    <row r="20" spans="2:2" x14ac:dyDescent="0.25">
      <c r="B20" s="31" t="s">
        <v>178</v>
      </c>
    </row>
    <row r="21" spans="2:2" x14ac:dyDescent="0.25">
      <c r="B21" s="31" t="s">
        <v>162</v>
      </c>
    </row>
    <row r="22" spans="2:2" x14ac:dyDescent="0.25">
      <c r="B22" s="31" t="s">
        <v>49</v>
      </c>
    </row>
    <row r="23" spans="2:2" x14ac:dyDescent="0.25">
      <c r="B23" s="31" t="s">
        <v>176</v>
      </c>
    </row>
    <row r="24" spans="2:2" x14ac:dyDescent="0.25">
      <c r="B24" s="31" t="s">
        <v>2</v>
      </c>
    </row>
    <row r="25" spans="2:2" x14ac:dyDescent="0.25">
      <c r="B25" s="31" t="s">
        <v>131</v>
      </c>
    </row>
    <row r="26" spans="2:2" x14ac:dyDescent="0.25">
      <c r="B26" s="31" t="s">
        <v>145</v>
      </c>
    </row>
    <row r="27" spans="2:2" x14ac:dyDescent="0.25">
      <c r="B27" s="31" t="s">
        <v>175</v>
      </c>
    </row>
    <row r="28" spans="2:2" x14ac:dyDescent="0.25">
      <c r="B28" s="31" t="s">
        <v>151</v>
      </c>
    </row>
    <row r="29" spans="2:2" x14ac:dyDescent="0.25">
      <c r="B29" s="31" t="s">
        <v>40</v>
      </c>
    </row>
    <row r="30" spans="2:2" x14ac:dyDescent="0.25">
      <c r="B30" s="31" t="s">
        <v>39</v>
      </c>
    </row>
    <row r="31" spans="2:2" x14ac:dyDescent="0.25">
      <c r="B31" s="31" t="s">
        <v>177</v>
      </c>
    </row>
    <row r="32" spans="2:2" x14ac:dyDescent="0.25">
      <c r="B32" s="31" t="s">
        <v>129</v>
      </c>
    </row>
    <row r="33" spans="2:2" x14ac:dyDescent="0.25">
      <c r="B33" s="31" t="s">
        <v>101</v>
      </c>
    </row>
    <row r="34" spans="2:2" x14ac:dyDescent="0.25">
      <c r="B34" s="31" t="s">
        <v>124</v>
      </c>
    </row>
    <row r="35" spans="2:2" x14ac:dyDescent="0.25">
      <c r="B35" s="31" t="s">
        <v>95</v>
      </c>
    </row>
    <row r="36" spans="2:2" x14ac:dyDescent="0.25">
      <c r="B36" s="31" t="s">
        <v>90</v>
      </c>
    </row>
    <row r="37" spans="2:2" x14ac:dyDescent="0.25">
      <c r="B37" s="31" t="s">
        <v>167</v>
      </c>
    </row>
    <row r="38" spans="2:2" x14ac:dyDescent="0.25">
      <c r="B38" s="31" t="s">
        <v>75</v>
      </c>
    </row>
    <row r="39" spans="2:2" x14ac:dyDescent="0.25">
      <c r="B39" s="31" t="s">
        <v>66</v>
      </c>
    </row>
    <row r="40" spans="2:2" x14ac:dyDescent="0.25">
      <c r="B40" s="31" t="s">
        <v>169</v>
      </c>
    </row>
    <row r="41" spans="2:2" x14ac:dyDescent="0.25">
      <c r="B41" s="31" t="s">
        <v>173</v>
      </c>
    </row>
    <row r="42" spans="2:2" x14ac:dyDescent="0.25">
      <c r="B42" s="31" t="s">
        <v>171</v>
      </c>
    </row>
    <row r="43" spans="2:2" x14ac:dyDescent="0.25">
      <c r="B43" s="31" t="s">
        <v>170</v>
      </c>
    </row>
    <row r="44" spans="2:2" x14ac:dyDescent="0.25">
      <c r="B44" s="31" t="s">
        <v>165</v>
      </c>
    </row>
    <row r="45" spans="2:2" x14ac:dyDescent="0.25">
      <c r="B45" s="31" t="s">
        <v>166</v>
      </c>
    </row>
    <row r="46" spans="2:2" x14ac:dyDescent="0.25">
      <c r="B46" s="31" t="s">
        <v>183</v>
      </c>
    </row>
    <row r="47" spans="2:2" x14ac:dyDescent="0.25">
      <c r="B47" s="31" t="s">
        <v>150</v>
      </c>
    </row>
    <row r="48" spans="2:2" x14ac:dyDescent="0.25">
      <c r="B48" s="31" t="s">
        <v>172</v>
      </c>
    </row>
    <row r="49" spans="2:15" x14ac:dyDescent="0.25">
      <c r="B49" s="31" t="s">
        <v>122</v>
      </c>
    </row>
    <row r="50" spans="2:15" x14ac:dyDescent="0.25">
      <c r="B50" s="31" t="s">
        <v>144</v>
      </c>
    </row>
    <row r="51" spans="2:15" x14ac:dyDescent="0.25">
      <c r="B51" s="31" t="s">
        <v>81</v>
      </c>
    </row>
    <row r="53" spans="2:15" x14ac:dyDescent="0.25">
      <c r="D53" s="31"/>
    </row>
    <row r="54" spans="2:15" x14ac:dyDescent="0.25">
      <c r="I54" s="66" t="s">
        <v>202</v>
      </c>
      <c r="J54" s="5" t="s">
        <v>204</v>
      </c>
      <c r="K54" s="74"/>
      <c r="L54" s="74"/>
      <c r="M54" s="74"/>
      <c r="N54" s="74"/>
      <c r="O54" s="74"/>
    </row>
    <row r="55" spans="2:15" x14ac:dyDescent="0.25">
      <c r="I55" s="66" t="s">
        <v>207</v>
      </c>
      <c r="J55" s="5" t="s">
        <v>208</v>
      </c>
      <c r="K55" s="74"/>
      <c r="L55" s="74"/>
      <c r="M55" s="74"/>
      <c r="N55" s="74"/>
      <c r="O55" s="74"/>
    </row>
    <row r="56" spans="2:15" x14ac:dyDescent="0.25">
      <c r="J56" s="5"/>
      <c r="K56" s="74"/>
      <c r="L56" s="74"/>
      <c r="M56" s="74"/>
      <c r="N56" s="74"/>
      <c r="O56" s="74"/>
    </row>
    <row r="57" spans="2:15" ht="45" x14ac:dyDescent="0.25">
      <c r="I57" s="67" t="s">
        <v>80</v>
      </c>
      <c r="J57" s="68" t="s">
        <v>220</v>
      </c>
      <c r="K57" s="68" t="s">
        <v>221</v>
      </c>
      <c r="L57" s="68" t="s">
        <v>222</v>
      </c>
      <c r="M57" s="68" t="s">
        <v>223</v>
      </c>
      <c r="N57" s="69" t="s">
        <v>224</v>
      </c>
      <c r="O57" s="69" t="s">
        <v>225</v>
      </c>
    </row>
    <row r="58" spans="2:15" x14ac:dyDescent="0.25">
      <c r="I58" s="70" t="s">
        <v>209</v>
      </c>
      <c r="J58" s="71">
        <v>5240</v>
      </c>
      <c r="K58" s="71">
        <v>3144</v>
      </c>
      <c r="L58" s="71">
        <v>0</v>
      </c>
      <c r="M58" s="71" t="e">
        <v>#DIV/0!</v>
      </c>
      <c r="N58" s="71">
        <v>16644550</v>
      </c>
      <c r="O58" s="71" t="e">
        <v>#DIV/0!</v>
      </c>
    </row>
    <row r="59" spans="2:15" x14ac:dyDescent="0.25">
      <c r="I59" s="70" t="s">
        <v>213</v>
      </c>
      <c r="J59" s="71">
        <v>35200</v>
      </c>
      <c r="K59" s="71">
        <v>21120</v>
      </c>
      <c r="L59" s="71">
        <v>0</v>
      </c>
      <c r="M59" s="71" t="e">
        <v>#DIV/0!</v>
      </c>
      <c r="N59" s="71">
        <v>27624550</v>
      </c>
      <c r="O59" s="71" t="e">
        <v>#DIV/0!</v>
      </c>
    </row>
    <row r="60" spans="2:15" x14ac:dyDescent="0.25">
      <c r="I60" s="70" t="s">
        <v>210</v>
      </c>
      <c r="J60" s="71">
        <v>629128</v>
      </c>
      <c r="K60" s="71">
        <v>377476</v>
      </c>
      <c r="L60" s="71">
        <v>0</v>
      </c>
      <c r="M60" s="72">
        <v>1</v>
      </c>
      <c r="N60" s="71">
        <v>314563600</v>
      </c>
      <c r="O60" s="71">
        <v>314563600</v>
      </c>
    </row>
    <row r="61" spans="2:15" x14ac:dyDescent="0.25">
      <c r="I61" s="70" t="s">
        <v>193</v>
      </c>
      <c r="J61" s="71">
        <v>0</v>
      </c>
      <c r="K61" s="71">
        <v>0</v>
      </c>
      <c r="L61" s="71">
        <v>235000</v>
      </c>
      <c r="M61" s="72">
        <v>1</v>
      </c>
      <c r="N61" s="71">
        <v>235000</v>
      </c>
      <c r="O61" s="71">
        <v>235000</v>
      </c>
    </row>
    <row r="62" spans="2:15" x14ac:dyDescent="0.25">
      <c r="I62" s="70" t="s">
        <v>194</v>
      </c>
      <c r="J62" s="71">
        <v>0</v>
      </c>
      <c r="K62" s="71">
        <v>0</v>
      </c>
      <c r="L62" s="71">
        <v>35000</v>
      </c>
      <c r="M62" s="72">
        <v>1</v>
      </c>
      <c r="N62" s="71">
        <v>35000</v>
      </c>
      <c r="O62" s="71">
        <v>35000</v>
      </c>
    </row>
    <row r="63" spans="2:15" x14ac:dyDescent="0.25">
      <c r="I63" s="70" t="s">
        <v>212</v>
      </c>
      <c r="J63" s="71">
        <v>124208</v>
      </c>
      <c r="K63" s="71">
        <v>74524</v>
      </c>
      <c r="L63" s="71">
        <v>0</v>
      </c>
      <c r="M63" s="71" t="e">
        <v>#DIV/0!</v>
      </c>
      <c r="N63" s="71">
        <v>72128150</v>
      </c>
      <c r="O63" s="71" t="e">
        <v>#DIV/0!</v>
      </c>
    </row>
    <row r="64" spans="2:15" x14ac:dyDescent="0.25">
      <c r="I64" s="70" t="s">
        <v>214</v>
      </c>
      <c r="J64" s="71">
        <v>4630</v>
      </c>
      <c r="K64" s="71">
        <v>2778</v>
      </c>
      <c r="L64" s="71">
        <v>0</v>
      </c>
      <c r="M64" s="71" t="e">
        <v>#DIV/0!</v>
      </c>
      <c r="N64" s="71">
        <v>16339550</v>
      </c>
      <c r="O64" s="71" t="e">
        <v>#DIV/0!</v>
      </c>
    </row>
    <row r="65" spans="4:15" x14ac:dyDescent="0.25">
      <c r="I65" s="70" t="s">
        <v>211</v>
      </c>
      <c r="J65" s="71">
        <v>8230</v>
      </c>
      <c r="K65" s="71">
        <v>4938</v>
      </c>
      <c r="L65" s="71">
        <v>0</v>
      </c>
      <c r="M65" s="71" t="e">
        <v>#DIV/0!</v>
      </c>
      <c r="N65" s="71">
        <v>14139550</v>
      </c>
      <c r="O65" s="71" t="e">
        <v>#DIV/0!</v>
      </c>
    </row>
    <row r="66" spans="4:15" x14ac:dyDescent="0.25">
      <c r="I66" s="70" t="s">
        <v>81</v>
      </c>
      <c r="J66" s="73">
        <v>100829.5</v>
      </c>
      <c r="K66" s="73">
        <v>60497.5</v>
      </c>
      <c r="L66" s="73">
        <v>33750</v>
      </c>
      <c r="M66" s="72">
        <v>1</v>
      </c>
      <c r="N66" s="73">
        <v>57713743.75</v>
      </c>
      <c r="O66" s="73">
        <v>104944533.33333333</v>
      </c>
    </row>
    <row r="68" spans="4:15" x14ac:dyDescent="0.25">
      <c r="I68" s="5" t="s">
        <v>226</v>
      </c>
      <c r="J68" s="5">
        <v>403</v>
      </c>
    </row>
    <row r="69" spans="4:15" x14ac:dyDescent="0.25">
      <c r="I69" s="5" t="s">
        <v>227</v>
      </c>
      <c r="J69" s="5">
        <v>461</v>
      </c>
    </row>
    <row r="73" spans="4:15" x14ac:dyDescent="0.25">
      <c r="D73" s="31"/>
    </row>
    <row r="74" spans="4:15" x14ac:dyDescent="0.25">
      <c r="D74" s="31"/>
    </row>
    <row r="75" spans="4:15" x14ac:dyDescent="0.25">
      <c r="D75" s="31"/>
    </row>
    <row r="76" spans="4:15" x14ac:dyDescent="0.25">
      <c r="D76" s="31"/>
    </row>
    <row r="77" spans="4:15" x14ac:dyDescent="0.25">
      <c r="D77" s="31"/>
    </row>
    <row r="78" spans="4:15" x14ac:dyDescent="0.25">
      <c r="D78" s="31"/>
    </row>
    <row r="79" spans="4:15" x14ac:dyDescent="0.25">
      <c r="D79" s="31"/>
    </row>
    <row r="80" spans="4:15" x14ac:dyDescent="0.25">
      <c r="D80" s="31"/>
    </row>
    <row r="81" spans="4:4" x14ac:dyDescent="0.25">
      <c r="D81" s="31"/>
    </row>
    <row r="82" spans="4:4" x14ac:dyDescent="0.25">
      <c r="D82" s="31"/>
    </row>
    <row r="83" spans="4:4" x14ac:dyDescent="0.25">
      <c r="D83" s="31"/>
    </row>
    <row r="84" spans="4:4" x14ac:dyDescent="0.25">
      <c r="D84" s="31"/>
    </row>
    <row r="86" spans="4:4" x14ac:dyDescent="0.25">
      <c r="D86" s="31"/>
    </row>
    <row r="87" spans="4:4" x14ac:dyDescent="0.25">
      <c r="D87" s="31"/>
    </row>
    <row r="88" spans="4:4" x14ac:dyDescent="0.25">
      <c r="D88" s="31"/>
    </row>
    <row r="89" spans="4:4" x14ac:dyDescent="0.25">
      <c r="D89" s="31"/>
    </row>
    <row r="90" spans="4:4" x14ac:dyDescent="0.25">
      <c r="D90" s="31"/>
    </row>
    <row r="91" spans="4:4" x14ac:dyDescent="0.25">
      <c r="D91" s="31"/>
    </row>
    <row r="92" spans="4:4" x14ac:dyDescent="0.25">
      <c r="D92" s="31"/>
    </row>
    <row r="93" spans="4:4" x14ac:dyDescent="0.25">
      <c r="D93" s="31"/>
    </row>
    <row r="94" spans="4:4" x14ac:dyDescent="0.25">
      <c r="D94" s="31"/>
    </row>
    <row r="95" spans="4:4" x14ac:dyDescent="0.25">
      <c r="D95" s="31"/>
    </row>
    <row r="96" spans="4:4" x14ac:dyDescent="0.25">
      <c r="D96" s="31"/>
    </row>
    <row r="97" spans="4:4" x14ac:dyDescent="0.25">
      <c r="D97" s="31"/>
    </row>
    <row r="98" spans="4:4" x14ac:dyDescent="0.25">
      <c r="D98" s="31"/>
    </row>
    <row r="99" spans="4:4" x14ac:dyDescent="0.25">
      <c r="D99" s="31"/>
    </row>
    <row r="100" spans="4:4" x14ac:dyDescent="0.25">
      <c r="D100" s="31"/>
    </row>
    <row r="101" spans="4:4" x14ac:dyDescent="0.25">
      <c r="D101" s="31"/>
    </row>
    <row r="102" spans="4:4" x14ac:dyDescent="0.25">
      <c r="D102" s="31"/>
    </row>
    <row r="103" spans="4:4" x14ac:dyDescent="0.25">
      <c r="D103" s="31"/>
    </row>
    <row r="104" spans="4:4" x14ac:dyDescent="0.25">
      <c r="D104" s="31"/>
    </row>
  </sheetData>
  <conditionalFormatting sqref="D53">
    <cfRule type="duplicateValues" dxfId="117" priority="3"/>
  </conditionalFormatting>
  <conditionalFormatting sqref="D53 D73:D84">
    <cfRule type="uniqueValues" dxfId="116" priority="1"/>
    <cfRule type="duplicateValues" dxfId="115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13BC-85B1-40EF-B51F-9610DF72B229}">
  <sheetPr codeName="Hoja4"/>
  <dimension ref="D13:F44"/>
  <sheetViews>
    <sheetView workbookViewId="0">
      <selection activeCell="D44" sqref="D13:D44"/>
    </sheetView>
  </sheetViews>
  <sheetFormatPr baseColWidth="10" defaultRowHeight="15" x14ac:dyDescent="0.25"/>
  <sheetData>
    <row r="13" spans="4:6" x14ac:dyDescent="0.25">
      <c r="D13" s="31" t="s">
        <v>168</v>
      </c>
      <c r="F13" s="31" t="s">
        <v>168</v>
      </c>
    </row>
    <row r="14" spans="4:6" x14ac:dyDescent="0.25">
      <c r="D14" s="31" t="s">
        <v>178</v>
      </c>
      <c r="F14" s="31" t="s">
        <v>49</v>
      </c>
    </row>
    <row r="15" spans="4:6" x14ac:dyDescent="0.25">
      <c r="D15" s="31" t="s">
        <v>162</v>
      </c>
      <c r="F15" s="31" t="s">
        <v>176</v>
      </c>
    </row>
    <row r="16" spans="4:6" x14ac:dyDescent="0.25">
      <c r="D16" s="31" t="s">
        <v>49</v>
      </c>
      <c r="F16" s="31" t="s">
        <v>145</v>
      </c>
    </row>
    <row r="17" spans="4:6" x14ac:dyDescent="0.25">
      <c r="D17" s="31" t="s">
        <v>176</v>
      </c>
      <c r="F17" s="31" t="s">
        <v>175</v>
      </c>
    </row>
    <row r="18" spans="4:6" x14ac:dyDescent="0.25">
      <c r="D18" s="31" t="s">
        <v>2</v>
      </c>
      <c r="F18" s="31" t="s">
        <v>151</v>
      </c>
    </row>
    <row r="19" spans="4:6" x14ac:dyDescent="0.25">
      <c r="D19" s="31" t="s">
        <v>131</v>
      </c>
      <c r="F19" s="31" t="s">
        <v>177</v>
      </c>
    </row>
    <row r="20" spans="4:6" x14ac:dyDescent="0.25">
      <c r="D20" s="31" t="s">
        <v>145</v>
      </c>
      <c r="F20" s="31" t="s">
        <v>167</v>
      </c>
    </row>
    <row r="21" spans="4:6" x14ac:dyDescent="0.25">
      <c r="D21" s="31" t="s">
        <v>175</v>
      </c>
      <c r="F21" s="31" t="s">
        <v>75</v>
      </c>
    </row>
    <row r="22" spans="4:6" x14ac:dyDescent="0.25">
      <c r="D22" s="31" t="s">
        <v>151</v>
      </c>
      <c r="F22" s="31" t="s">
        <v>171</v>
      </c>
    </row>
    <row r="23" spans="4:6" x14ac:dyDescent="0.25">
      <c r="D23" s="31" t="s">
        <v>40</v>
      </c>
      <c r="F23" s="31" t="s">
        <v>170</v>
      </c>
    </row>
    <row r="24" spans="4:6" x14ac:dyDescent="0.25">
      <c r="D24" s="31" t="s">
        <v>39</v>
      </c>
      <c r="F24" s="31" t="s">
        <v>165</v>
      </c>
    </row>
    <row r="25" spans="4:6" x14ac:dyDescent="0.25">
      <c r="D25" s="31" t="s">
        <v>177</v>
      </c>
      <c r="F25" s="31" t="s">
        <v>166</v>
      </c>
    </row>
    <row r="26" spans="4:6" x14ac:dyDescent="0.25">
      <c r="D26" s="31" t="s">
        <v>129</v>
      </c>
      <c r="F26" s="31" t="s">
        <v>183</v>
      </c>
    </row>
    <row r="27" spans="4:6" x14ac:dyDescent="0.25">
      <c r="D27" s="31" t="s">
        <v>101</v>
      </c>
      <c r="F27" s="31" t="s">
        <v>150</v>
      </c>
    </row>
    <row r="28" spans="4:6" x14ac:dyDescent="0.25">
      <c r="D28" s="31" t="s">
        <v>124</v>
      </c>
      <c r="F28" s="31" t="s">
        <v>172</v>
      </c>
    </row>
    <row r="29" spans="4:6" x14ac:dyDescent="0.25">
      <c r="D29" s="31" t="s">
        <v>95</v>
      </c>
      <c r="F29" s="31" t="s">
        <v>122</v>
      </c>
    </row>
    <row r="30" spans="4:6" x14ac:dyDescent="0.25">
      <c r="D30" s="31" t="s">
        <v>90</v>
      </c>
      <c r="F30" s="31" t="s">
        <v>144</v>
      </c>
    </row>
    <row r="31" spans="4:6" x14ac:dyDescent="0.25">
      <c r="D31" s="31" t="s">
        <v>167</v>
      </c>
      <c r="F31" s="31" t="s">
        <v>201</v>
      </c>
    </row>
    <row r="32" spans="4:6" x14ac:dyDescent="0.25">
      <c r="D32" s="31" t="s">
        <v>75</v>
      </c>
    </row>
    <row r="33" spans="4:4" x14ac:dyDescent="0.25">
      <c r="D33" s="31" t="s">
        <v>66</v>
      </c>
    </row>
    <row r="34" spans="4:4" x14ac:dyDescent="0.25">
      <c r="D34" s="31" t="s">
        <v>169</v>
      </c>
    </row>
    <row r="35" spans="4:4" x14ac:dyDescent="0.25">
      <c r="D35" s="31" t="s">
        <v>173</v>
      </c>
    </row>
    <row r="36" spans="4:4" x14ac:dyDescent="0.25">
      <c r="D36" s="31" t="s">
        <v>171</v>
      </c>
    </row>
    <row r="37" spans="4:4" x14ac:dyDescent="0.25">
      <c r="D37" s="31" t="s">
        <v>170</v>
      </c>
    </row>
    <row r="38" spans="4:4" x14ac:dyDescent="0.25">
      <c r="D38" s="31" t="s">
        <v>165</v>
      </c>
    </row>
    <row r="39" spans="4:4" x14ac:dyDescent="0.25">
      <c r="D39" s="31" t="s">
        <v>166</v>
      </c>
    </row>
    <row r="40" spans="4:4" x14ac:dyDescent="0.25">
      <c r="D40" s="31" t="s">
        <v>183</v>
      </c>
    </row>
    <row r="41" spans="4:4" x14ac:dyDescent="0.25">
      <c r="D41" s="31" t="s">
        <v>150</v>
      </c>
    </row>
    <row r="42" spans="4:4" x14ac:dyDescent="0.25">
      <c r="D42" s="31" t="s">
        <v>172</v>
      </c>
    </row>
    <row r="43" spans="4:4" x14ac:dyDescent="0.25">
      <c r="D43" s="31" t="s">
        <v>122</v>
      </c>
    </row>
    <row r="44" spans="4:4" x14ac:dyDescent="0.25">
      <c r="D44" s="31" t="s">
        <v>144</v>
      </c>
    </row>
  </sheetData>
  <conditionalFormatting sqref="D13">
    <cfRule type="duplicateValues" dxfId="91" priority="4"/>
  </conditionalFormatting>
  <conditionalFormatting sqref="D13:D44">
    <cfRule type="duplicateValues" dxfId="90" priority="1"/>
    <cfRule type="uniqueValues" dxfId="89" priority="2"/>
    <cfRule type="duplicateValues" dxfId="88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00F3-28C0-4CA0-A44A-5D0FF1509B37}">
  <sheetPr codeName="Hoja5"/>
  <dimension ref="E3:AI22"/>
  <sheetViews>
    <sheetView topLeftCell="X1" zoomScale="70" zoomScaleNormal="70" workbookViewId="0">
      <selection activeCell="AB20" sqref="AB20"/>
    </sheetView>
  </sheetViews>
  <sheetFormatPr baseColWidth="10" defaultRowHeight="15" x14ac:dyDescent="0.25"/>
  <cols>
    <col min="5" max="5" width="37.140625" bestFit="1" customWidth="1"/>
    <col min="6" max="8" width="18.140625" bestFit="1" customWidth="1"/>
    <col min="9" max="9" width="17.42578125" bestFit="1" customWidth="1"/>
    <col min="10" max="10" width="45.7109375" bestFit="1" customWidth="1"/>
    <col min="11" max="12" width="18.28515625" style="4" bestFit="1" customWidth="1"/>
    <col min="14" max="14" width="38.7109375" bestFit="1" customWidth="1"/>
    <col min="15" max="18" width="17.42578125" bestFit="1" customWidth="1"/>
    <col min="19" max="19" width="45.7109375" bestFit="1" customWidth="1"/>
    <col min="22" max="22" width="43" bestFit="1" customWidth="1"/>
    <col min="23" max="26" width="17.42578125" bestFit="1" customWidth="1"/>
    <col min="27" max="27" width="45.7109375" bestFit="1" customWidth="1"/>
    <col min="30" max="30" width="32.140625" bestFit="1" customWidth="1"/>
    <col min="31" max="34" width="17.42578125" bestFit="1" customWidth="1"/>
    <col min="35" max="35" width="45.7109375" bestFit="1" customWidth="1"/>
  </cols>
  <sheetData>
    <row r="3" spans="5:35" x14ac:dyDescent="0.25">
      <c r="E3" s="30" t="s">
        <v>80</v>
      </c>
      <c r="F3" s="10" t="s">
        <v>186</v>
      </c>
      <c r="G3" s="10" t="s">
        <v>185</v>
      </c>
      <c r="H3" s="10" t="s">
        <v>184</v>
      </c>
      <c r="I3" s="10" t="s">
        <v>85</v>
      </c>
      <c r="J3" s="4" t="s">
        <v>187</v>
      </c>
      <c r="K3"/>
      <c r="L3"/>
      <c r="N3" s="30" t="s">
        <v>80</v>
      </c>
      <c r="O3" s="4" t="s">
        <v>82</v>
      </c>
      <c r="P3" s="4" t="s">
        <v>83</v>
      </c>
      <c r="Q3" s="4" t="s">
        <v>84</v>
      </c>
      <c r="R3" s="4" t="s">
        <v>85</v>
      </c>
      <c r="S3" s="4" t="s">
        <v>187</v>
      </c>
      <c r="V3" s="30" t="s">
        <v>80</v>
      </c>
      <c r="W3" s="4" t="s">
        <v>82</v>
      </c>
      <c r="X3" s="4" t="s">
        <v>83</v>
      </c>
      <c r="Y3" s="4" t="s">
        <v>84</v>
      </c>
      <c r="Z3" s="4" t="s">
        <v>85</v>
      </c>
      <c r="AA3" s="4" t="s">
        <v>187</v>
      </c>
      <c r="AD3" s="30" t="s">
        <v>80</v>
      </c>
      <c r="AE3" s="10" t="s">
        <v>82</v>
      </c>
      <c r="AF3" s="10" t="s">
        <v>83</v>
      </c>
      <c r="AG3" s="10" t="s">
        <v>84</v>
      </c>
      <c r="AH3" s="10" t="s">
        <v>85</v>
      </c>
      <c r="AI3" s="4" t="s">
        <v>187</v>
      </c>
    </row>
    <row r="4" spans="5:35" x14ac:dyDescent="0.25">
      <c r="E4" s="31" t="s">
        <v>163</v>
      </c>
      <c r="F4" s="10">
        <v>2.0199999999999999E-2</v>
      </c>
      <c r="G4" s="10">
        <v>1.9900000000000001E-2</v>
      </c>
      <c r="H4" s="10">
        <v>1.9800000000000002E-2</v>
      </c>
      <c r="I4" s="10">
        <v>2.1000000000000001E-2</v>
      </c>
      <c r="J4" s="10">
        <v>2.0226000000000004E-2</v>
      </c>
      <c r="K4"/>
      <c r="L4"/>
      <c r="N4" s="31" t="s">
        <v>163</v>
      </c>
      <c r="O4" s="6">
        <v>9.4347826086956523</v>
      </c>
      <c r="P4" s="6">
        <v>10.802721088435373</v>
      </c>
      <c r="Q4" s="6">
        <v>10.944444444444443</v>
      </c>
      <c r="R4" s="6">
        <v>9.0505050505050519</v>
      </c>
      <c r="S4" s="6">
        <v>10.116892079624998</v>
      </c>
      <c r="V4" s="31" t="s">
        <v>163</v>
      </c>
      <c r="W4" s="6">
        <v>16.78</v>
      </c>
      <c r="X4" s="6">
        <v>16.86</v>
      </c>
      <c r="Y4" s="6">
        <v>17.11</v>
      </c>
      <c r="Z4" s="6">
        <v>17.13</v>
      </c>
      <c r="AA4" s="6">
        <v>17.011199999999999</v>
      </c>
      <c r="AD4" s="31" t="s">
        <v>163</v>
      </c>
      <c r="AE4" s="10">
        <v>0.83687956981164902</v>
      </c>
      <c r="AF4" s="10">
        <v>2.2316788528310645</v>
      </c>
      <c r="AG4" s="10">
        <v>1.7853430822648517</v>
      </c>
      <c r="AH4" s="10">
        <v>0.71413723290594067</v>
      </c>
      <c r="AI4" s="10">
        <v>1.3950224509046985</v>
      </c>
    </row>
    <row r="5" spans="5:35" x14ac:dyDescent="0.25">
      <c r="E5" s="32" t="s">
        <v>167</v>
      </c>
      <c r="F5" s="10">
        <v>2.0199999999999999E-2</v>
      </c>
      <c r="G5" s="10">
        <v>1.9900000000000001E-2</v>
      </c>
      <c r="H5" s="10">
        <v>1.9800000000000002E-2</v>
      </c>
      <c r="I5" s="10">
        <v>2.1000000000000001E-2</v>
      </c>
      <c r="J5" s="10">
        <v>2.0226000000000004E-2</v>
      </c>
      <c r="K5"/>
      <c r="L5"/>
      <c r="N5" s="32" t="s">
        <v>171</v>
      </c>
      <c r="O5" s="6">
        <v>9.4347826086956523</v>
      </c>
      <c r="P5" s="6">
        <v>10.802721088435373</v>
      </c>
      <c r="Q5" s="6">
        <v>10.944444444444443</v>
      </c>
      <c r="R5" s="6">
        <v>9.0505050505050519</v>
      </c>
      <c r="S5" s="6">
        <v>10.116892079624998</v>
      </c>
      <c r="V5" s="32" t="s">
        <v>178</v>
      </c>
      <c r="W5" s="6">
        <v>16.78</v>
      </c>
      <c r="X5" s="6">
        <v>16.86</v>
      </c>
      <c r="Y5" s="6">
        <v>17.11</v>
      </c>
      <c r="Z5" s="6">
        <v>17.13</v>
      </c>
      <c r="AA5" s="6">
        <v>17.011199999999999</v>
      </c>
      <c r="AD5" s="32" t="s">
        <v>176</v>
      </c>
      <c r="AE5" s="10">
        <v>0.83687956981164902</v>
      </c>
      <c r="AF5" s="10">
        <v>2.2316788528310645</v>
      </c>
      <c r="AG5" s="10">
        <v>1.7853430822648517</v>
      </c>
      <c r="AH5" s="10">
        <v>0.71413723290594067</v>
      </c>
      <c r="AI5" s="10">
        <v>1.3950224509046985</v>
      </c>
    </row>
    <row r="6" spans="5:35" x14ac:dyDescent="0.25">
      <c r="E6" s="31" t="s">
        <v>81</v>
      </c>
      <c r="F6" s="10">
        <v>2.0199999999999999E-2</v>
      </c>
      <c r="G6" s="10">
        <v>1.9900000000000001E-2</v>
      </c>
      <c r="H6" s="10">
        <v>1.9800000000000002E-2</v>
      </c>
      <c r="I6" s="10">
        <v>2.1000000000000001E-2</v>
      </c>
      <c r="J6" s="10">
        <v>2.0226000000000004E-2</v>
      </c>
      <c r="K6"/>
      <c r="L6"/>
      <c r="N6" s="31" t="s">
        <v>81</v>
      </c>
      <c r="O6" s="6">
        <v>9.4347826086956523</v>
      </c>
      <c r="P6" s="6">
        <v>10.802721088435373</v>
      </c>
      <c r="Q6" s="6">
        <v>10.944444444444443</v>
      </c>
      <c r="R6" s="6">
        <v>9.0505050505050519</v>
      </c>
      <c r="S6" s="6">
        <v>10.116892079624998</v>
      </c>
      <c r="V6" s="31" t="s">
        <v>81</v>
      </c>
      <c r="W6" s="6">
        <v>16.78</v>
      </c>
      <c r="X6" s="6">
        <v>16.86</v>
      </c>
      <c r="Y6" s="6">
        <v>17.11</v>
      </c>
      <c r="Z6" s="6">
        <v>17.13</v>
      </c>
      <c r="AA6" s="6">
        <v>17.011199999999999</v>
      </c>
      <c r="AD6" s="31" t="s">
        <v>81</v>
      </c>
      <c r="AE6" s="10">
        <v>0.83687956981164902</v>
      </c>
      <c r="AF6" s="10">
        <v>2.2316788528310645</v>
      </c>
      <c r="AG6" s="10">
        <v>1.7853430822648517</v>
      </c>
      <c r="AH6" s="10">
        <v>0.71413723290594067</v>
      </c>
      <c r="AI6" s="10">
        <v>1.3950224509046985</v>
      </c>
    </row>
    <row r="13" spans="5:35" x14ac:dyDescent="0.25">
      <c r="F13">
        <f>GETPIVOTDATA(" Suma de 2016",$E$3)</f>
        <v>2.0199999999999999E-2</v>
      </c>
      <c r="G13">
        <f>GETPIVOTDATA(" Suma de 2017",$E$3)</f>
        <v>1.9900000000000001E-2</v>
      </c>
      <c r="H13">
        <f>GETPIVOTDATA(" Suma de 2018",$E$3)</f>
        <v>1.9800000000000002E-2</v>
      </c>
      <c r="I13">
        <f>GETPIVOTDATA("Suma de 2019",$E$3)</f>
        <v>2.1000000000000001E-2</v>
      </c>
      <c r="J13">
        <f>GETPIVOTDATA("Suma de Pronostico 2020 suavización",$E$3)</f>
        <v>2.0226000000000004E-2</v>
      </c>
      <c r="O13">
        <f>GETPIVOTDATA("Suma de 2016",$N$3)</f>
        <v>9.4347826086956523</v>
      </c>
      <c r="P13">
        <f>GETPIVOTDATA("Suma de 2017",$N$3)</f>
        <v>10.802721088435373</v>
      </c>
      <c r="Q13">
        <f>GETPIVOTDATA("Suma de 2018",$N$3)</f>
        <v>10.944444444444443</v>
      </c>
      <c r="R13">
        <f>GETPIVOTDATA("Suma de 2019",$N$3)</f>
        <v>9.0505050505050519</v>
      </c>
      <c r="S13">
        <f>GETPIVOTDATA("Suma de Pronostico 2020 suavización",$N$3)</f>
        <v>10.116892079624998</v>
      </c>
      <c r="W13">
        <f>GETPIVOTDATA("Suma de 2016",$V$3)</f>
        <v>16.78</v>
      </c>
      <c r="X13">
        <f>GETPIVOTDATA("Suma de 2017",$V$3)</f>
        <v>16.86</v>
      </c>
      <c r="Y13">
        <f>GETPIVOTDATA("Suma de 2018",$V$3)</f>
        <v>17.11</v>
      </c>
      <c r="Z13">
        <f>GETPIVOTDATA("Suma de 2019",$V$3)</f>
        <v>17.13</v>
      </c>
      <c r="AA13">
        <f>GETPIVOTDATA("Suma de Pronostico 2020 suavización",$V$3)</f>
        <v>17.011199999999999</v>
      </c>
    </row>
    <row r="15" spans="5:35" x14ac:dyDescent="0.25">
      <c r="AE15">
        <f>GETPIVOTDATA("Suma de 2016",$AD$3)</f>
        <v>0.83687956981164902</v>
      </c>
      <c r="AF15">
        <f>GETPIVOTDATA("Suma de 2017",$AD$3)</f>
        <v>2.2316788528310645</v>
      </c>
      <c r="AG15">
        <f>GETPIVOTDATA("Suma de 2018",$AD$3)</f>
        <v>1.7853430822648517</v>
      </c>
      <c r="AH15">
        <f>GETPIVOTDATA("Suma de 2019",$AD$3)</f>
        <v>0.71413723290594067</v>
      </c>
      <c r="AI15">
        <f>GETPIVOTDATA("Suma de Pronostico 2020 suavización",$AD$3)</f>
        <v>1.3950224509046985</v>
      </c>
    </row>
    <row r="20" spans="11:12" x14ac:dyDescent="0.25">
      <c r="K20" s="10"/>
      <c r="L20" s="10"/>
    </row>
    <row r="21" spans="11:12" x14ac:dyDescent="0.25">
      <c r="K21" s="10"/>
      <c r="L21" s="10"/>
    </row>
    <row r="22" spans="11:12" x14ac:dyDescent="0.25">
      <c r="K22" s="10"/>
      <c r="L22" s="10"/>
    </row>
  </sheetData>
  <pageMargins left="0.7" right="0.7" top="0.75" bottom="0.75" header="0.3" footer="0.3"/>
  <pageSetup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CB96E-FA2A-45A8-BE5E-6158E55C5038}">
  <sheetPr codeName="Hoja6"/>
  <dimension ref="A1:Y257"/>
  <sheetViews>
    <sheetView zoomScale="70" zoomScaleNormal="70" workbookViewId="0">
      <selection activeCell="D3" sqref="D3"/>
    </sheetView>
  </sheetViews>
  <sheetFormatPr baseColWidth="10" defaultRowHeight="15" x14ac:dyDescent="0.25"/>
  <cols>
    <col min="1" max="1" width="11.42578125" style="4"/>
    <col min="2" max="2" width="17.7109375" customWidth="1"/>
    <col min="3" max="3" width="30.28515625" customWidth="1"/>
    <col min="4" max="4" width="18.7109375" bestFit="1" customWidth="1"/>
    <col min="5" max="7" width="19.140625" bestFit="1" customWidth="1"/>
    <col min="8" max="8" width="29.85546875" style="4" customWidth="1"/>
    <col min="9" max="9" width="20" customWidth="1"/>
    <col min="10" max="10" width="29.85546875" customWidth="1"/>
    <col min="11" max="11" width="20.28515625" bestFit="1" customWidth="1"/>
    <col min="12" max="13" width="20.28515625" style="4" customWidth="1"/>
    <col min="15" max="15" width="37.140625" bestFit="1" customWidth="1"/>
    <col min="16" max="17" width="18.28515625" bestFit="1" customWidth="1"/>
    <col min="18" max="18" width="21.7109375" customWidth="1"/>
    <col min="19" max="19" width="43" bestFit="1" customWidth="1"/>
    <col min="20" max="21" width="28.5703125" bestFit="1" customWidth="1"/>
    <col min="22" max="22" width="18.7109375" bestFit="1" customWidth="1"/>
    <col min="23" max="23" width="40" bestFit="1" customWidth="1"/>
    <col min="24" max="25" width="28.5703125" bestFit="1" customWidth="1"/>
  </cols>
  <sheetData>
    <row r="1" spans="1:25" x14ac:dyDescent="0.25">
      <c r="A1" s="4" t="s">
        <v>86</v>
      </c>
      <c r="B1" t="s">
        <v>3</v>
      </c>
      <c r="C1" s="7" t="s">
        <v>1</v>
      </c>
      <c r="D1">
        <v>2016</v>
      </c>
      <c r="E1">
        <v>2017</v>
      </c>
      <c r="F1">
        <v>2018</v>
      </c>
      <c r="G1">
        <v>2019</v>
      </c>
      <c r="H1" t="s">
        <v>154</v>
      </c>
      <c r="I1" s="4" t="s">
        <v>155</v>
      </c>
      <c r="J1" s="4" t="s">
        <v>174</v>
      </c>
      <c r="K1" t="s">
        <v>152</v>
      </c>
      <c r="P1" s="4"/>
      <c r="Q1" s="4"/>
      <c r="R1" s="4"/>
      <c r="S1" s="4"/>
      <c r="T1" s="4"/>
    </row>
    <row r="2" spans="1:25" x14ac:dyDescent="0.25">
      <c r="A2" s="4" t="s">
        <v>161</v>
      </c>
      <c r="B2" s="3" t="s">
        <v>243</v>
      </c>
      <c r="C2" s="7" t="s">
        <v>2</v>
      </c>
      <c r="D2" s="2">
        <f>'Fuente total'!F2*7.2</f>
        <v>216198725.78016001</v>
      </c>
      <c r="E2" s="2">
        <f>'Fuente total'!G2*7.2</f>
        <v>237818598.35817602</v>
      </c>
      <c r="F2" s="2">
        <f>'Fuente total'!H2*7.2</f>
        <v>309164177.86562884</v>
      </c>
      <c r="G2" s="2">
        <f>'Fuente total'!I2*7.2</f>
        <v>278247760.07906598</v>
      </c>
      <c r="H2" s="11"/>
      <c r="J2" s="2">
        <f t="shared" ref="J2:J33" si="0">K2+$Q$2*(G2-K2)</f>
        <v>270931595.19866532</v>
      </c>
      <c r="K2" s="2">
        <f t="shared" ref="K2:K33" si="1">(D2*0.2)+(E2*0.2)+(F2*0.4)+(G2*0.2)</f>
        <v>270118687.98973191</v>
      </c>
      <c r="L2" s="2"/>
      <c r="M2" s="2"/>
      <c r="P2" s="4" t="s">
        <v>153</v>
      </c>
      <c r="Q2" s="3">
        <v>0.1</v>
      </c>
      <c r="R2" s="2"/>
      <c r="S2" s="2"/>
      <c r="T2" s="2"/>
    </row>
    <row r="3" spans="1:25" x14ac:dyDescent="0.25">
      <c r="A3" s="4" t="s">
        <v>161</v>
      </c>
      <c r="B3" s="3" t="s">
        <v>240</v>
      </c>
      <c r="C3" s="7" t="s">
        <v>2</v>
      </c>
      <c r="D3" s="2">
        <f>'Fuente total'!F3*5.9</f>
        <v>70963411.136519998</v>
      </c>
      <c r="E3" s="2">
        <f>'Fuente total'!G3*5.9</f>
        <v>149023163.38669202</v>
      </c>
      <c r="F3" s="2">
        <f>'Fuente total'!H3*5.9</f>
        <v>134120847.04802282</v>
      </c>
      <c r="G3" s="2">
        <f>'Fuente total'!I3*5.9</f>
        <v>67060423.524011411</v>
      </c>
      <c r="H3" s="11"/>
      <c r="I3" s="4"/>
      <c r="J3" s="2">
        <f t="shared" si="0"/>
        <v>106658006.93818957</v>
      </c>
      <c r="K3" s="2">
        <f t="shared" si="1"/>
        <v>111057738.42865381</v>
      </c>
      <c r="L3" s="2"/>
      <c r="M3" s="2"/>
      <c r="P3" s="2"/>
      <c r="Q3" s="2"/>
      <c r="R3" s="2"/>
      <c r="S3" s="2"/>
      <c r="T3" s="2"/>
    </row>
    <row r="4" spans="1:25" x14ac:dyDescent="0.25">
      <c r="A4" s="4" t="s">
        <v>161</v>
      </c>
      <c r="B4" s="3" t="s">
        <v>242</v>
      </c>
      <c r="C4" s="7" t="s">
        <v>2</v>
      </c>
      <c r="D4" s="2">
        <f>'Fuente total'!F4*6.2</f>
        <v>6867782.6733600004</v>
      </c>
      <c r="E4" s="2">
        <f>'Fuente total'!G4*6.2</f>
        <v>686778.26733599999</v>
      </c>
      <c r="F4" s="2">
        <f>'Fuente total'!H4*6.2</f>
        <v>755456.09406960011</v>
      </c>
      <c r="G4" s="2">
        <f>'Fuente total'!I4*6.2</f>
        <v>4457190.9550106404</v>
      </c>
      <c r="H4" s="11"/>
      <c r="I4" s="4"/>
      <c r="J4" s="2">
        <f t="shared" si="0"/>
        <v>2879798.6305933157</v>
      </c>
      <c r="K4" s="2">
        <f t="shared" si="1"/>
        <v>2704532.8167691687</v>
      </c>
      <c r="L4" s="2"/>
      <c r="M4" s="2"/>
      <c r="P4" s="55"/>
      <c r="Q4" s="55"/>
      <c r="R4" s="55"/>
      <c r="S4" s="55"/>
      <c r="T4" s="55"/>
    </row>
    <row r="5" spans="1:25" x14ac:dyDescent="0.25">
      <c r="A5" s="4" t="s">
        <v>161</v>
      </c>
      <c r="B5" s="3" t="s">
        <v>244</v>
      </c>
      <c r="C5" s="7" t="s">
        <v>2</v>
      </c>
      <c r="D5" s="2">
        <f>'Fuente total'!F5*5.8</f>
        <v>5728699.4400000004</v>
      </c>
      <c r="E5" s="2">
        <f>'Fuente total'!G5*5.8</f>
        <v>17758968.263999999</v>
      </c>
      <c r="F5" s="2">
        <f>'Fuente total'!H5*5.8</f>
        <v>19534865.090400003</v>
      </c>
      <c r="G5" s="2">
        <f>'Fuente total'!I5*5.8</f>
        <v>15627892.072320003</v>
      </c>
      <c r="H5" s="11"/>
      <c r="I5" s="4"/>
      <c r="J5" s="2">
        <f t="shared" si="0"/>
        <v>15636141.399513602</v>
      </c>
      <c r="K5" s="2">
        <f t="shared" si="1"/>
        <v>15637057.991424002</v>
      </c>
      <c r="L5" s="2"/>
      <c r="M5" s="2"/>
      <c r="P5" s="55"/>
      <c r="Q5" s="55"/>
      <c r="R5" s="55"/>
      <c r="S5" s="55"/>
      <c r="T5" s="55"/>
    </row>
    <row r="6" spans="1:25" x14ac:dyDescent="0.25">
      <c r="A6" s="4" t="s">
        <v>161</v>
      </c>
      <c r="B6" s="3" t="s">
        <v>245</v>
      </c>
      <c r="C6" s="7" t="s">
        <v>2</v>
      </c>
      <c r="D6" s="2">
        <f>'Fuente total'!F6*5.9</f>
        <v>5119092.5365200005</v>
      </c>
      <c r="E6" s="2">
        <f>'Fuente total'!G6*5.9</f>
        <v>10750094.326692002</v>
      </c>
      <c r="F6" s="2">
        <f>'Fuente total'!H6*5.9</f>
        <v>11825103.759361204</v>
      </c>
      <c r="G6" s="2">
        <f>'Fuente total'!I6*5.9</f>
        <v>13007614.135297325</v>
      </c>
      <c r="H6" s="11"/>
      <c r="I6" s="4"/>
      <c r="J6" s="2">
        <f t="shared" si="0"/>
        <v>10755622.946631445</v>
      </c>
      <c r="K6" s="2">
        <f t="shared" si="1"/>
        <v>10505401.703446347</v>
      </c>
      <c r="L6" s="2"/>
      <c r="M6" s="2"/>
      <c r="P6" s="2"/>
      <c r="Q6" s="2"/>
      <c r="R6" s="2"/>
      <c r="S6" s="2"/>
      <c r="T6" s="2"/>
    </row>
    <row r="7" spans="1:25" x14ac:dyDescent="0.25">
      <c r="A7" s="4" t="s">
        <v>161</v>
      </c>
      <c r="B7" s="3" t="s">
        <v>164</v>
      </c>
      <c r="C7" s="7" t="s">
        <v>2</v>
      </c>
      <c r="D7" s="2">
        <f>'Fuente total'!F7*5.9</f>
        <v>12907471.03332</v>
      </c>
      <c r="E7" s="2">
        <f>'Fuente total'!G7*5.9</f>
        <v>14198218.136652002</v>
      </c>
      <c r="F7" s="2">
        <f>'Fuente total'!H7*5.9</f>
        <v>17037861.7639824</v>
      </c>
      <c r="G7" s="2">
        <f>'Fuente total'!I7*5.9</f>
        <v>28964364.998770084</v>
      </c>
      <c r="H7" s="11"/>
      <c r="I7" s="4"/>
      <c r="J7" s="2">
        <f t="shared" si="0"/>
        <v>19122676.485284247</v>
      </c>
      <c r="K7" s="2">
        <f t="shared" si="1"/>
        <v>18029155.539341375</v>
      </c>
      <c r="L7" s="2"/>
      <c r="M7" s="2"/>
      <c r="P7" s="2"/>
      <c r="Q7" s="2"/>
      <c r="R7" s="2"/>
      <c r="S7" s="2"/>
      <c r="T7" s="2"/>
    </row>
    <row r="8" spans="1:25" x14ac:dyDescent="0.25">
      <c r="A8" s="4" t="s">
        <v>161</v>
      </c>
      <c r="B8" s="3" t="s">
        <v>241</v>
      </c>
      <c r="C8" s="7" t="s">
        <v>2</v>
      </c>
      <c r="D8" s="2">
        <f>'Fuente total'!F8*4.6</f>
        <v>4543451.6608799994</v>
      </c>
      <c r="E8" s="2">
        <f>'Fuente total'!G8*4.6</f>
        <v>8632558.1556719989</v>
      </c>
      <c r="F8" s="2">
        <f>'Fuente total'!H8*4.6</f>
        <v>7769302.3401047988</v>
      </c>
      <c r="G8" s="2">
        <f>'Fuente total'!I8*4.6</f>
        <v>6215441.87208384</v>
      </c>
      <c r="H8" s="11"/>
      <c r="I8" s="4"/>
      <c r="J8" s="2">
        <f t="shared" si="0"/>
        <v>6908954.333600563</v>
      </c>
      <c r="K8" s="2">
        <f t="shared" si="1"/>
        <v>6986011.2737690881</v>
      </c>
      <c r="L8" s="2"/>
      <c r="M8" s="2"/>
      <c r="P8" s="2"/>
      <c r="Q8" s="2"/>
      <c r="R8" s="2"/>
      <c r="S8" s="2"/>
      <c r="T8" s="2"/>
    </row>
    <row r="9" spans="1:25" x14ac:dyDescent="0.25">
      <c r="A9" s="4" t="s">
        <v>161</v>
      </c>
      <c r="B9" s="3" t="s">
        <v>163</v>
      </c>
      <c r="C9" s="7" t="s">
        <v>2</v>
      </c>
      <c r="D9" s="2">
        <f>'Fuente total'!F9*5.8</f>
        <v>2944644.58824</v>
      </c>
      <c r="E9" s="2">
        <f>'Fuente total'!G9*5.8</f>
        <v>4711431.3411840005</v>
      </c>
      <c r="F9" s="2">
        <f>'Fuente total'!H9*5.8</f>
        <v>3769145.0729472009</v>
      </c>
      <c r="G9" s="2">
        <f>'Fuente total'!I9*5.8</f>
        <v>1507658.0291788804</v>
      </c>
      <c r="H9" s="11"/>
      <c r="I9" s="4"/>
      <c r="J9" s="2">
        <f t="shared" si="0"/>
        <v>3157130.1417273991</v>
      </c>
      <c r="K9" s="2">
        <f t="shared" si="1"/>
        <v>3340404.8208994567</v>
      </c>
      <c r="L9" s="2"/>
      <c r="M9" s="2"/>
      <c r="P9" s="2"/>
      <c r="Q9" s="2"/>
      <c r="R9" s="2"/>
      <c r="S9" s="2"/>
      <c r="T9" s="2"/>
    </row>
    <row r="10" spans="1:25" x14ac:dyDescent="0.25">
      <c r="A10" s="4" t="s">
        <v>161</v>
      </c>
      <c r="B10" s="3" t="s">
        <v>243</v>
      </c>
      <c r="C10" s="9" t="s">
        <v>175</v>
      </c>
      <c r="D10" s="2">
        <f>('Fuente total'!N2*100)/'Fuente total'!C54</f>
        <v>29.571428571428577</v>
      </c>
      <c r="E10" s="2">
        <f>('Fuente total'!O2*100)/'Fuente total'!D54</f>
        <v>25.500000000000004</v>
      </c>
      <c r="F10" s="2">
        <f>('Fuente total'!P2*100)/'Fuente total'!E54</f>
        <v>27.428571428571427</v>
      </c>
      <c r="G10" s="2">
        <f>('Fuente total'!Q2*100)/'Fuente total'!F54</f>
        <v>28.827586206896552</v>
      </c>
      <c r="H10" s="11"/>
      <c r="I10" s="4"/>
      <c r="J10" s="2">
        <f t="shared" si="0"/>
        <v>27.858866995073893</v>
      </c>
      <c r="K10" s="2">
        <f t="shared" si="1"/>
        <v>27.751231527093598</v>
      </c>
      <c r="L10" s="2"/>
      <c r="M10" s="2"/>
      <c r="P10" s="11"/>
      <c r="Q10" s="11"/>
      <c r="R10" s="11"/>
      <c r="S10" s="11"/>
      <c r="T10" s="2"/>
    </row>
    <row r="11" spans="1:25" x14ac:dyDescent="0.25">
      <c r="A11" s="4" t="s">
        <v>161</v>
      </c>
      <c r="B11" s="3" t="s">
        <v>240</v>
      </c>
      <c r="C11" s="9" t="s">
        <v>175</v>
      </c>
      <c r="D11" s="2">
        <f>('Fuente total'!N3*100)/'Fuente total'!C55</f>
        <v>23.586206896551722</v>
      </c>
      <c r="E11" s="2">
        <f>('Fuente total'!O3*100)/'Fuente total'!D55</f>
        <v>23.448275862068968</v>
      </c>
      <c r="F11" s="2">
        <f>('Fuente total'!P3*100)/'Fuente total'!E55</f>
        <v>23.172413793103445</v>
      </c>
      <c r="G11" s="2">
        <f>('Fuente total'!Q3*100)/'Fuente total'!F55</f>
        <v>24.428571428571427</v>
      </c>
      <c r="H11" s="11"/>
      <c r="I11" s="4"/>
      <c r="J11" s="2">
        <f t="shared" si="0"/>
        <v>23.648275862068964</v>
      </c>
      <c r="K11" s="2">
        <f t="shared" si="1"/>
        <v>23.561576354679801</v>
      </c>
      <c r="L11" s="2"/>
      <c r="M11" s="2"/>
      <c r="P11" s="11"/>
      <c r="Q11" s="11"/>
      <c r="R11" s="11"/>
      <c r="S11" s="11"/>
      <c r="T11" s="2"/>
    </row>
    <row r="12" spans="1:25" x14ac:dyDescent="0.25">
      <c r="A12" s="4" t="s">
        <v>161</v>
      </c>
      <c r="B12" s="3" t="s">
        <v>242</v>
      </c>
      <c r="C12" s="9" t="s">
        <v>175</v>
      </c>
      <c r="D12" s="2">
        <f>('Fuente total'!N4*100)/'Fuente total'!C56</f>
        <v>23.142857142857142</v>
      </c>
      <c r="E12" s="2">
        <f>('Fuente total'!O4*100)/'Fuente total'!D56</f>
        <v>25.500000000000004</v>
      </c>
      <c r="F12" s="2">
        <f>('Fuente total'!P4*100)/'Fuente total'!E56</f>
        <v>22.857142857142861</v>
      </c>
      <c r="G12" s="2">
        <f>('Fuente total'!Q4*100)/'Fuente total'!F56</f>
        <v>24.896551724137932</v>
      </c>
      <c r="H12" s="11"/>
      <c r="I12" s="4"/>
      <c r="J12" s="2">
        <f t="shared" si="0"/>
        <v>23.95532019704434</v>
      </c>
      <c r="K12" s="2">
        <f t="shared" si="1"/>
        <v>23.850738916256162</v>
      </c>
      <c r="L12" s="2"/>
      <c r="M12" s="2"/>
      <c r="P12" s="2"/>
      <c r="Q12" s="2"/>
      <c r="R12" s="2"/>
      <c r="S12" s="2"/>
      <c r="T12" s="2"/>
    </row>
    <row r="13" spans="1:25" x14ac:dyDescent="0.25">
      <c r="A13" s="4" t="s">
        <v>161</v>
      </c>
      <c r="B13" s="3" t="s">
        <v>244</v>
      </c>
      <c r="C13" s="9" t="s">
        <v>175</v>
      </c>
      <c r="D13" s="2">
        <f>('Fuente total'!N5*100)/'Fuente total'!C57</f>
        <v>23.58620689655173</v>
      </c>
      <c r="E13" s="2">
        <f>('Fuente total'!O5*100)/'Fuente total'!D57</f>
        <v>23.448275862068968</v>
      </c>
      <c r="F13" s="2">
        <f>('Fuente total'!P5*100)/'Fuente total'!E57</f>
        <v>23.172413793103448</v>
      </c>
      <c r="G13" s="2">
        <f>('Fuente total'!Q5*100)/'Fuente total'!F57</f>
        <v>24.428571428571431</v>
      </c>
      <c r="H13" s="11"/>
      <c r="I13" s="4"/>
      <c r="J13" s="2">
        <f t="shared" si="0"/>
        <v>23.648275862068971</v>
      </c>
      <c r="K13" s="2">
        <f t="shared" si="1"/>
        <v>23.561576354679808</v>
      </c>
      <c r="L13" s="2"/>
      <c r="M13" s="2"/>
      <c r="P13" s="2"/>
      <c r="Q13" s="2"/>
      <c r="R13" s="2"/>
      <c r="S13" s="2"/>
      <c r="T13" s="2"/>
    </row>
    <row r="14" spans="1:25" x14ac:dyDescent="0.25">
      <c r="A14" s="4" t="s">
        <v>161</v>
      </c>
      <c r="B14" s="3" t="s">
        <v>245</v>
      </c>
      <c r="C14" s="9" t="s">
        <v>175</v>
      </c>
      <c r="D14" s="2">
        <f>('Fuente total'!N6*100)/'Fuente total'!C58</f>
        <v>25.714285714285719</v>
      </c>
      <c r="E14" s="2">
        <f>('Fuente total'!O6*100)/'Fuente total'!D58</f>
        <v>24.620689655172409</v>
      </c>
      <c r="F14" s="2">
        <f>('Fuente total'!P6*100)/'Fuente total'!E58</f>
        <v>22.857142857142858</v>
      </c>
      <c r="G14" s="2">
        <f>('Fuente total'!Q6*100)/'Fuente total'!F58</f>
        <v>24.896551724137929</v>
      </c>
      <c r="H14" s="11"/>
      <c r="I14" s="4"/>
      <c r="J14" s="2">
        <f t="shared" si="0"/>
        <v>24.259901477832514</v>
      </c>
      <c r="K14" s="2">
        <f t="shared" si="1"/>
        <v>24.189162561576357</v>
      </c>
      <c r="L14" s="2"/>
      <c r="M14" s="2"/>
      <c r="P14" s="4"/>
      <c r="Q14" s="4"/>
      <c r="R14" s="4"/>
      <c r="S14" s="4"/>
      <c r="T14" s="6"/>
    </row>
    <row r="15" spans="1:25" x14ac:dyDescent="0.25">
      <c r="A15" s="4" t="s">
        <v>161</v>
      </c>
      <c r="B15" s="3" t="s">
        <v>164</v>
      </c>
      <c r="C15" s="9" t="s">
        <v>175</v>
      </c>
      <c r="D15" s="2">
        <f>('Fuente total'!N7*100)/'Fuente total'!C59</f>
        <v>28.551724137931032</v>
      </c>
      <c r="E15" s="2">
        <f>('Fuente total'!O7*100)/'Fuente total'!D59</f>
        <v>25.500000000000004</v>
      </c>
      <c r="F15" s="2">
        <f>('Fuente total'!P7*100)/'Fuente total'!E59</f>
        <v>26.482758620689655</v>
      </c>
      <c r="G15" s="2">
        <f>('Fuente total'!Q7*100)/'Fuente total'!F59</f>
        <v>25.142857142857146</v>
      </c>
      <c r="H15" s="11"/>
      <c r="I15" s="4"/>
      <c r="J15" s="2">
        <f t="shared" si="0"/>
        <v>26.303103448275863</v>
      </c>
      <c r="K15" s="2">
        <f t="shared" si="1"/>
        <v>26.432019704433497</v>
      </c>
      <c r="L15" s="2"/>
      <c r="M15" s="2"/>
      <c r="O15" s="30" t="s">
        <v>80</v>
      </c>
      <c r="P15" s="4" t="s">
        <v>160</v>
      </c>
      <c r="Q15" s="4" t="s">
        <v>159</v>
      </c>
      <c r="R15" s="4"/>
      <c r="S15" s="30" t="s">
        <v>80</v>
      </c>
      <c r="T15" s="4" t="s">
        <v>157</v>
      </c>
      <c r="U15" s="4" t="s">
        <v>158</v>
      </c>
      <c r="W15" s="30" t="s">
        <v>80</v>
      </c>
      <c r="X15" s="4" t="s">
        <v>157</v>
      </c>
      <c r="Y15" s="4" t="s">
        <v>158</v>
      </c>
    </row>
    <row r="16" spans="1:25" x14ac:dyDescent="0.25">
      <c r="A16" s="4" t="s">
        <v>161</v>
      </c>
      <c r="B16" s="3" t="s">
        <v>241</v>
      </c>
      <c r="C16" s="9" t="s">
        <v>175</v>
      </c>
      <c r="D16" s="2">
        <f>('Fuente total'!N8*100)/'Fuente total'!C60</f>
        <v>24.428571428571434</v>
      </c>
      <c r="E16" s="2">
        <f>('Fuente total'!O8*100)/'Fuente total'!D60</f>
        <v>23.448275862068972</v>
      </c>
      <c r="F16" s="2">
        <f>('Fuente total'!P8*100)/'Fuente total'!E60</f>
        <v>24</v>
      </c>
      <c r="G16" s="2">
        <f>('Fuente total'!Q8*100)/'Fuente total'!F60</f>
        <v>23.586206896551719</v>
      </c>
      <c r="H16" s="11"/>
      <c r="I16" s="4"/>
      <c r="J16" s="2">
        <f t="shared" si="0"/>
        <v>23.861970443349755</v>
      </c>
      <c r="K16" s="2">
        <f t="shared" si="1"/>
        <v>23.892610837438426</v>
      </c>
      <c r="L16" s="2"/>
      <c r="M16" s="2"/>
      <c r="O16" s="31" t="s">
        <v>163</v>
      </c>
      <c r="P16" s="6">
        <v>1.618E-2</v>
      </c>
      <c r="Q16" s="6">
        <v>1.933E-2</v>
      </c>
      <c r="R16" s="10"/>
      <c r="S16" s="31" t="s">
        <v>163</v>
      </c>
      <c r="T16" s="6">
        <v>16.88</v>
      </c>
      <c r="U16" s="6">
        <v>10.212</v>
      </c>
      <c r="W16" s="31" t="s">
        <v>163</v>
      </c>
      <c r="X16" s="6">
        <v>10.094496428347361</v>
      </c>
      <c r="Y16" s="6">
        <v>8.0464906384161043</v>
      </c>
    </row>
    <row r="17" spans="1:25" x14ac:dyDescent="0.25">
      <c r="A17" s="4" t="s">
        <v>161</v>
      </c>
      <c r="B17" s="3" t="s">
        <v>163</v>
      </c>
      <c r="C17" s="9" t="s">
        <v>175</v>
      </c>
      <c r="D17" s="2">
        <f>('Fuente total'!N9*100)/'Fuente total'!C61</f>
        <v>28.551724137931039</v>
      </c>
      <c r="E17" s="2">
        <f>('Fuente total'!O9*100)/'Fuente total'!D61</f>
        <v>25.500000000000007</v>
      </c>
      <c r="F17" s="2">
        <f>('Fuente total'!P9*100)/'Fuente total'!E61</f>
        <v>26.482758620689658</v>
      </c>
      <c r="G17" s="2">
        <f>('Fuente total'!Q9*100)/'Fuente total'!F61</f>
        <v>29.857142857142861</v>
      </c>
      <c r="H17" s="11"/>
      <c r="I17" s="4"/>
      <c r="J17" s="2">
        <f t="shared" si="0"/>
        <v>27.62310344827587</v>
      </c>
      <c r="K17" s="2">
        <f t="shared" si="1"/>
        <v>27.374876847290647</v>
      </c>
      <c r="L17" s="2"/>
      <c r="M17" s="2"/>
      <c r="O17" s="32" t="s">
        <v>167</v>
      </c>
      <c r="P17" s="6">
        <v>1.618E-2</v>
      </c>
      <c r="Q17" s="6">
        <v>1.933E-2</v>
      </c>
      <c r="R17" s="10"/>
      <c r="S17" s="32" t="s">
        <v>178</v>
      </c>
      <c r="T17" s="6">
        <v>16.88</v>
      </c>
      <c r="U17" s="6">
        <v>10.212</v>
      </c>
      <c r="W17" s="32" t="s">
        <v>247</v>
      </c>
      <c r="X17" s="6">
        <v>10.094496428347361</v>
      </c>
      <c r="Y17" s="6">
        <v>8.0464906384161043</v>
      </c>
    </row>
    <row r="18" spans="1:25" x14ac:dyDescent="0.25">
      <c r="A18" s="4" t="s">
        <v>161</v>
      </c>
      <c r="B18" s="3" t="s">
        <v>243</v>
      </c>
      <c r="C18" s="9" t="s">
        <v>151</v>
      </c>
      <c r="D18" s="2">
        <f>'Fuente total'!N2/'Fuente total'!G54</f>
        <v>65428.561749258952</v>
      </c>
      <c r="E18" s="2">
        <f>'Fuente total'!O2/'Fuente total'!H54</f>
        <v>62062.309659260842</v>
      </c>
      <c r="F18" s="2">
        <f>'Fuente total'!P2/'Fuente total'!I54</f>
        <v>86782.927120176508</v>
      </c>
      <c r="G18" s="2">
        <f>'Fuente total'!Q2/'Fuente total'!J54</f>
        <v>85020.148913047917</v>
      </c>
      <c r="H18" s="11"/>
      <c r="I18" s="4"/>
      <c r="J18" s="2">
        <f t="shared" si="0"/>
        <v>77995.852312450515</v>
      </c>
      <c r="K18" s="2">
        <f t="shared" si="1"/>
        <v>77215.374912384141</v>
      </c>
      <c r="L18" s="2"/>
      <c r="M18" s="2"/>
      <c r="O18" s="31" t="s">
        <v>81</v>
      </c>
      <c r="P18" s="6">
        <v>1.618E-2</v>
      </c>
      <c r="Q18" s="6">
        <v>1.933E-2</v>
      </c>
      <c r="R18" s="10"/>
      <c r="S18" s="31" t="s">
        <v>81</v>
      </c>
      <c r="T18" s="6">
        <v>16.88</v>
      </c>
      <c r="U18" s="6">
        <v>10.212</v>
      </c>
      <c r="W18" s="31" t="s">
        <v>81</v>
      </c>
      <c r="X18" s="6">
        <v>10.094496428347361</v>
      </c>
      <c r="Y18" s="6">
        <v>8.0464906384161043</v>
      </c>
    </row>
    <row r="19" spans="1:25" x14ac:dyDescent="0.25">
      <c r="A19" s="4" t="s">
        <v>161</v>
      </c>
      <c r="B19" s="3" t="s">
        <v>240</v>
      </c>
      <c r="C19" s="9" t="s">
        <v>151</v>
      </c>
      <c r="D19" s="2">
        <f>'Fuente total'!N3/'Fuente total'!G55</f>
        <v>21649.854245039998</v>
      </c>
      <c r="E19" s="2">
        <f>'Fuente total'!O3/'Fuente total'!H55</f>
        <v>45198.818511574733</v>
      </c>
      <c r="F19" s="2">
        <f>'Fuente total'!P3/'Fuente total'!I55</f>
        <v>40200.360935000594</v>
      </c>
      <c r="G19" s="2">
        <f>'Fuente total'!Q3/'Fuente total'!J55</f>
        <v>20459.112261562801</v>
      </c>
      <c r="H19" s="11"/>
      <c r="I19" s="4"/>
      <c r="J19" s="2">
        <f t="shared" si="0"/>
        <v>32233.442466028453</v>
      </c>
      <c r="K19" s="2">
        <f t="shared" si="1"/>
        <v>33541.701377635749</v>
      </c>
      <c r="L19" s="2"/>
      <c r="M19" s="2"/>
      <c r="R19" s="10"/>
    </row>
    <row r="20" spans="1:25" x14ac:dyDescent="0.25">
      <c r="A20" s="4" t="s">
        <v>161</v>
      </c>
      <c r="B20" s="3" t="s">
        <v>242</v>
      </c>
      <c r="C20" s="9" t="s">
        <v>151</v>
      </c>
      <c r="D20" s="2">
        <f>'Fuente total'!N4/'Fuente total'!G56</f>
        <v>1888.9317369852631</v>
      </c>
      <c r="E20" s="2">
        <f>'Fuente total'!O4/'Fuente total'!H56</f>
        <v>208.13229324189473</v>
      </c>
      <c r="F20" s="2">
        <f>'Fuente total'!P4/'Fuente total'!I56</f>
        <v>205.21727512926319</v>
      </c>
      <c r="G20" s="2">
        <f>'Fuente total'!Q4/'Fuente total'!J56</f>
        <v>1365.9133571806801</v>
      </c>
      <c r="H20" s="11"/>
      <c r="I20" s="4"/>
      <c r="J20" s="2">
        <f t="shared" si="0"/>
        <v>833.8054844980137</v>
      </c>
      <c r="K20" s="2">
        <f t="shared" si="1"/>
        <v>774.68238753327296</v>
      </c>
      <c r="L20" s="2"/>
      <c r="M20" s="2"/>
      <c r="P20">
        <f>GETPIVOTDATA(" Objetivo 150%",$O$15)</f>
        <v>1.618E-2</v>
      </c>
      <c r="Q20">
        <f>GETPIVOTDATA(" Objetivo 100%",$O$15)</f>
        <v>1.933E-2</v>
      </c>
      <c r="R20" s="29"/>
      <c r="T20">
        <f>GETPIVOTDATA("Suma de Objetivo 100%",$S$15)</f>
        <v>16.88</v>
      </c>
      <c r="U20">
        <f>GETPIVOTDATA("Suma de Objetivo 150%",$S$15)</f>
        <v>10.212</v>
      </c>
      <c r="X20">
        <f>GETPIVOTDATA("Suma de Objetivo 100%",$W$15)</f>
        <v>10.094496428347361</v>
      </c>
      <c r="Y20">
        <f>GETPIVOTDATA("Suma de Objetivo 150%",$W$15)</f>
        <v>8.0464906384161043</v>
      </c>
    </row>
    <row r="21" spans="1:25" x14ac:dyDescent="0.25">
      <c r="A21" s="4" t="s">
        <v>161</v>
      </c>
      <c r="B21" s="3" t="s">
        <v>244</v>
      </c>
      <c r="C21" s="9" t="s">
        <v>151</v>
      </c>
      <c r="D21" s="2">
        <f>'Fuente total'!N5/'Fuente total'!G57</f>
        <v>1777.8722400000004</v>
      </c>
      <c r="E21" s="2">
        <f>'Fuente total'!O5/'Fuente total'!H57</f>
        <v>5479.173511578947</v>
      </c>
      <c r="F21" s="2">
        <f>'Fuente total'!P5/'Fuente total'!I57</f>
        <v>5956.1839114105269</v>
      </c>
      <c r="G21" s="2">
        <f>'Fuente total'!Q5/'Fuente total'!J57</f>
        <v>4850.0354707200004</v>
      </c>
      <c r="H21" s="11"/>
      <c r="I21" s="4"/>
      <c r="J21" s="2">
        <f t="shared" si="0"/>
        <v>4808.5043751936</v>
      </c>
      <c r="K21" s="2">
        <f t="shared" si="1"/>
        <v>4803.889809024</v>
      </c>
      <c r="L21" s="2"/>
      <c r="M21" s="2"/>
      <c r="R21" s="29"/>
    </row>
    <row r="22" spans="1:25" x14ac:dyDescent="0.25">
      <c r="A22" s="4" t="s">
        <v>161</v>
      </c>
      <c r="B22" s="3" t="s">
        <v>245</v>
      </c>
      <c r="C22" s="9" t="s">
        <v>151</v>
      </c>
      <c r="D22" s="2">
        <f>'Fuente total'!N6/'Fuente total'!G58</f>
        <v>1643.9547842526317</v>
      </c>
      <c r="E22" s="2">
        <f>'Fuente total'!O6/'Fuente total'!H58</f>
        <v>3423.5358382061049</v>
      </c>
      <c r="F22" s="2">
        <f>'Fuente total'!P6/'Fuente total'!I58</f>
        <v>3375.587156998738</v>
      </c>
      <c r="G22" s="2">
        <f>'Fuente total'!Q6/'Fuente total'!J58</f>
        <v>4188.8926876381202</v>
      </c>
      <c r="H22" s="11"/>
      <c r="I22" s="4"/>
      <c r="J22" s="2">
        <f t="shared" si="0"/>
        <v>3300.2496411007915</v>
      </c>
      <c r="K22" s="2">
        <f t="shared" si="1"/>
        <v>3201.5115248188663</v>
      </c>
      <c r="L22" s="2"/>
      <c r="M22" s="2"/>
      <c r="R22" s="27"/>
    </row>
    <row r="23" spans="1:25" x14ac:dyDescent="0.25">
      <c r="A23" s="4" t="s">
        <v>161</v>
      </c>
      <c r="B23" s="3" t="s">
        <v>164</v>
      </c>
      <c r="C23" s="9" t="s">
        <v>151</v>
      </c>
      <c r="D23" s="2">
        <f>'Fuente total'!N7/'Fuente total'!G59</f>
        <v>4766.8983120378944</v>
      </c>
      <c r="E23" s="2">
        <f>'Fuente total'!O7/'Fuente total'!H59</f>
        <v>4521.6448481576845</v>
      </c>
      <c r="F23" s="2">
        <f>'Fuente total'!P7/'Fuente total'!I59</f>
        <v>5836.3415855211779</v>
      </c>
      <c r="G23" s="2">
        <f>'Fuente total'!Q7/'Fuente total'!J59</f>
        <v>9094.9656374371716</v>
      </c>
      <c r="H23" s="11"/>
      <c r="I23" s="4"/>
      <c r="J23" s="2">
        <f t="shared" si="0"/>
        <v>6319.6111181052365</v>
      </c>
      <c r="K23" s="2">
        <f t="shared" si="1"/>
        <v>6011.2383937350214</v>
      </c>
      <c r="L23" s="2"/>
      <c r="M23" s="2"/>
      <c r="R23" s="27"/>
    </row>
    <row r="24" spans="1:25" x14ac:dyDescent="0.25">
      <c r="A24" s="4" t="s">
        <v>161</v>
      </c>
      <c r="B24" s="3" t="s">
        <v>241</v>
      </c>
      <c r="C24" s="9" t="s">
        <v>151</v>
      </c>
      <c r="D24" s="2">
        <f>'Fuente total'!N8/'Fuente total'!G60</f>
        <v>1777.8723890400001</v>
      </c>
      <c r="E24" s="2">
        <f>'Fuente total'!O8/'Fuente total'!H60</f>
        <v>3358.2034015200002</v>
      </c>
      <c r="F24" s="2">
        <f>'Fuente total'!P8/'Fuente total'!I60</f>
        <v>2986.8256135871993</v>
      </c>
      <c r="G24" s="2">
        <f>'Fuente total'!Q8/'Fuente total'!J60</f>
        <v>2432.1294282067201</v>
      </c>
      <c r="H24" s="11"/>
      <c r="I24" s="4"/>
      <c r="J24" s="2">
        <f t="shared" si="0"/>
        <v>2680.7471030900733</v>
      </c>
      <c r="K24" s="2">
        <f t="shared" si="1"/>
        <v>2708.3712891882237</v>
      </c>
      <c r="L24" s="2"/>
      <c r="M24" s="2"/>
      <c r="R24" s="27"/>
    </row>
    <row r="25" spans="1:25" x14ac:dyDescent="0.25">
      <c r="A25" s="4" t="s">
        <v>161</v>
      </c>
      <c r="B25" s="3" t="s">
        <v>163</v>
      </c>
      <c r="C25" s="9" t="s">
        <v>151</v>
      </c>
      <c r="D25" s="2">
        <f>'Fuente total'!N9/'Fuente total'!G61</f>
        <v>1106.2457890484211</v>
      </c>
      <c r="E25" s="2">
        <f>'Fuente total'!O9/'Fuente total'!H61</f>
        <v>1526.2985379334739</v>
      </c>
      <c r="F25" s="2">
        <f>'Fuente total'!P9/'Fuente total'!I61</f>
        <v>1313.3863049108215</v>
      </c>
      <c r="G25" s="2">
        <f>'Fuente total'!Q9/'Fuente total'!J61</f>
        <v>571.8702869299201</v>
      </c>
      <c r="H25" s="11"/>
      <c r="I25" s="4"/>
      <c r="J25" s="2">
        <f t="shared" si="0"/>
        <v>1106.8007289650147</v>
      </c>
      <c r="K25" s="2">
        <f t="shared" si="1"/>
        <v>1166.2374447466918</v>
      </c>
      <c r="L25" s="2"/>
      <c r="M25" s="2"/>
      <c r="R25" s="27"/>
    </row>
    <row r="26" spans="1:25" x14ac:dyDescent="0.25">
      <c r="A26" s="4" t="s">
        <v>161</v>
      </c>
      <c r="B26" s="3" t="s">
        <v>243</v>
      </c>
      <c r="C26" s="9" t="s">
        <v>145</v>
      </c>
      <c r="D26" s="2">
        <f>'Fuente total'!C54/'Fuente total'!F2</f>
        <v>1.4</v>
      </c>
      <c r="E26" s="2">
        <f>'Fuente total'!D54/'Fuente total'!G2</f>
        <v>1.4</v>
      </c>
      <c r="F26" s="2">
        <f>'Fuente total'!E54/'Fuente total'!H2</f>
        <v>1.4</v>
      </c>
      <c r="G26" s="2">
        <f>'Fuente total'!F54/'Fuente total'!I2</f>
        <v>1.45</v>
      </c>
      <c r="H26" s="11"/>
      <c r="I26" s="4"/>
      <c r="J26" s="2">
        <f t="shared" si="0"/>
        <v>1.4139999999999999</v>
      </c>
      <c r="K26" s="2">
        <f t="shared" si="1"/>
        <v>1.41</v>
      </c>
      <c r="L26" s="2"/>
      <c r="M26" s="2"/>
      <c r="R26" s="58"/>
      <c r="V26" s="58"/>
      <c r="W26" s="58"/>
    </row>
    <row r="27" spans="1:25" x14ac:dyDescent="0.25">
      <c r="A27" s="4" t="s">
        <v>161</v>
      </c>
      <c r="B27" s="3" t="s">
        <v>240</v>
      </c>
      <c r="C27" s="9" t="s">
        <v>145</v>
      </c>
      <c r="D27" s="2">
        <f>'Fuente total'!C55/'Fuente total'!F3</f>
        <v>1.45</v>
      </c>
      <c r="E27" s="2">
        <f>'Fuente total'!D55/'Fuente total'!G3</f>
        <v>1.4499999999999997</v>
      </c>
      <c r="F27" s="2">
        <f>'Fuente total'!E55/'Fuente total'!H3</f>
        <v>1.45</v>
      </c>
      <c r="G27" s="2">
        <f>'Fuente total'!F55/'Fuente total'!I3</f>
        <v>1.4</v>
      </c>
      <c r="H27" s="11"/>
      <c r="I27" s="4"/>
      <c r="J27" s="2">
        <f t="shared" si="0"/>
        <v>1.4359999999999999</v>
      </c>
      <c r="K27" s="2">
        <f t="shared" si="1"/>
        <v>1.44</v>
      </c>
      <c r="L27" s="2"/>
      <c r="M27" s="2"/>
      <c r="R27" s="6"/>
      <c r="V27" s="6"/>
      <c r="W27" s="6"/>
    </row>
    <row r="28" spans="1:25" x14ac:dyDescent="0.25">
      <c r="A28" s="4" t="s">
        <v>161</v>
      </c>
      <c r="B28" s="3" t="s">
        <v>242</v>
      </c>
      <c r="C28" s="9" t="s">
        <v>145</v>
      </c>
      <c r="D28" s="2">
        <f>'Fuente total'!C56/'Fuente total'!F4</f>
        <v>1.4</v>
      </c>
      <c r="E28" s="2">
        <f>'Fuente total'!D56/'Fuente total'!G4</f>
        <v>1.4</v>
      </c>
      <c r="F28" s="2">
        <f>'Fuente total'!E56/'Fuente total'!H4</f>
        <v>1.4</v>
      </c>
      <c r="G28" s="2">
        <f>'Fuente total'!F56/'Fuente total'!I4</f>
        <v>1.45</v>
      </c>
      <c r="H28" s="11"/>
      <c r="I28" s="4"/>
      <c r="J28" s="2">
        <f t="shared" si="0"/>
        <v>1.4139999999999999</v>
      </c>
      <c r="K28" s="2">
        <f t="shared" si="1"/>
        <v>1.41</v>
      </c>
      <c r="L28" s="2"/>
      <c r="M28" s="2"/>
      <c r="O28" s="3"/>
      <c r="P28" s="6"/>
      <c r="Q28" s="6"/>
      <c r="R28" s="6"/>
      <c r="V28" s="6"/>
      <c r="W28" s="6"/>
    </row>
    <row r="29" spans="1:25" x14ac:dyDescent="0.25">
      <c r="A29" s="4" t="s">
        <v>161</v>
      </c>
      <c r="B29" s="3" t="s">
        <v>244</v>
      </c>
      <c r="C29" s="9" t="s">
        <v>145</v>
      </c>
      <c r="D29" s="2">
        <f>'Fuente total'!C57/'Fuente total'!F5</f>
        <v>1.45</v>
      </c>
      <c r="E29" s="2">
        <f>'Fuente total'!D57/'Fuente total'!G5</f>
        <v>1.45</v>
      </c>
      <c r="F29" s="2">
        <f>'Fuente total'!E57/'Fuente total'!H5</f>
        <v>1.45</v>
      </c>
      <c r="G29" s="2">
        <f>'Fuente total'!F57/'Fuente total'!I5</f>
        <v>1.4</v>
      </c>
      <c r="H29" s="11"/>
      <c r="I29" s="4"/>
      <c r="J29" s="2">
        <f t="shared" si="0"/>
        <v>1.4359999999999999</v>
      </c>
      <c r="K29" s="2">
        <f t="shared" si="1"/>
        <v>1.44</v>
      </c>
      <c r="L29" s="2"/>
      <c r="M29" s="2"/>
      <c r="O29" s="3"/>
      <c r="P29" s="6"/>
      <c r="Q29" s="6"/>
      <c r="R29" s="6"/>
      <c r="V29" s="6"/>
      <c r="W29" s="6"/>
    </row>
    <row r="30" spans="1:25" x14ac:dyDescent="0.25">
      <c r="A30" s="4" t="s">
        <v>161</v>
      </c>
      <c r="B30" s="3" t="s">
        <v>245</v>
      </c>
      <c r="C30" s="9" t="s">
        <v>145</v>
      </c>
      <c r="D30" s="2">
        <f>'Fuente total'!C58/'Fuente total'!F6</f>
        <v>1.4</v>
      </c>
      <c r="E30" s="2">
        <f>'Fuente total'!D58/'Fuente total'!G6</f>
        <v>1.45</v>
      </c>
      <c r="F30" s="2">
        <f>'Fuente total'!E58/'Fuente total'!H6</f>
        <v>1.4000000000000001</v>
      </c>
      <c r="G30" s="2">
        <f>'Fuente total'!F58/'Fuente total'!I6</f>
        <v>1.45</v>
      </c>
      <c r="H30" s="11"/>
      <c r="I30" s="4"/>
      <c r="J30" s="2">
        <f t="shared" si="0"/>
        <v>1.423</v>
      </c>
      <c r="K30" s="2">
        <f t="shared" si="1"/>
        <v>1.42</v>
      </c>
      <c r="L30" s="2"/>
      <c r="M30" s="2"/>
      <c r="O30" s="3"/>
      <c r="P30" s="6"/>
      <c r="Q30" s="6"/>
      <c r="R30" s="6"/>
      <c r="V30" s="6"/>
      <c r="W30" s="6"/>
    </row>
    <row r="31" spans="1:25" x14ac:dyDescent="0.25">
      <c r="A31" s="4" t="s">
        <v>161</v>
      </c>
      <c r="B31" s="3" t="s">
        <v>164</v>
      </c>
      <c r="C31" s="9" t="s">
        <v>145</v>
      </c>
      <c r="D31" s="2">
        <f>'Fuente total'!C59/'Fuente total'!F7</f>
        <v>1.45</v>
      </c>
      <c r="E31" s="2">
        <f>'Fuente total'!D59/'Fuente total'!G7</f>
        <v>1.4</v>
      </c>
      <c r="F31" s="2">
        <f>'Fuente total'!E59/'Fuente total'!H7</f>
        <v>1.45</v>
      </c>
      <c r="G31" s="2">
        <f>'Fuente total'!F59/'Fuente total'!I7</f>
        <v>1.4</v>
      </c>
      <c r="H31" s="11"/>
      <c r="I31" s="4"/>
      <c r="J31" s="2">
        <f t="shared" si="0"/>
        <v>1.427</v>
      </c>
      <c r="K31" s="2">
        <f t="shared" si="1"/>
        <v>1.43</v>
      </c>
      <c r="L31" s="2"/>
      <c r="M31" s="2"/>
      <c r="O31" s="3"/>
      <c r="P31" s="6"/>
      <c r="Q31" s="6"/>
      <c r="R31" s="6"/>
      <c r="V31" s="6"/>
      <c r="W31" s="6"/>
    </row>
    <row r="32" spans="1:25" x14ac:dyDescent="0.25">
      <c r="A32" s="4" t="s">
        <v>161</v>
      </c>
      <c r="B32" s="3" t="s">
        <v>241</v>
      </c>
      <c r="C32" s="9" t="s">
        <v>145</v>
      </c>
      <c r="D32" s="2">
        <f>'Fuente total'!C60/'Fuente total'!F8</f>
        <v>1.4</v>
      </c>
      <c r="E32" s="2">
        <f>'Fuente total'!D60/'Fuente total'!G8</f>
        <v>1.45</v>
      </c>
      <c r="F32" s="2">
        <f>'Fuente total'!E60/'Fuente total'!H8</f>
        <v>1.4</v>
      </c>
      <c r="G32" s="2">
        <f>'Fuente total'!F60/'Fuente total'!I8</f>
        <v>1.45</v>
      </c>
      <c r="H32" s="11"/>
      <c r="I32" s="4"/>
      <c r="J32" s="2">
        <f t="shared" si="0"/>
        <v>1.423</v>
      </c>
      <c r="K32" s="2">
        <f t="shared" si="1"/>
        <v>1.42</v>
      </c>
      <c r="L32" s="2"/>
      <c r="M32" s="2"/>
      <c r="O32" s="3"/>
      <c r="P32" s="6"/>
      <c r="Q32" s="59"/>
      <c r="R32" s="6"/>
      <c r="V32" s="6"/>
      <c r="W32" s="6"/>
    </row>
    <row r="33" spans="1:23" x14ac:dyDescent="0.25">
      <c r="A33" s="4" t="s">
        <v>161</v>
      </c>
      <c r="B33" s="3" t="s">
        <v>163</v>
      </c>
      <c r="C33" s="9" t="s">
        <v>145</v>
      </c>
      <c r="D33" s="2">
        <f>'Fuente total'!C61/'Fuente total'!F9</f>
        <v>1.45</v>
      </c>
      <c r="E33" s="2">
        <f>'Fuente total'!D61/'Fuente total'!G9</f>
        <v>1.3999999999999997</v>
      </c>
      <c r="F33" s="2">
        <f>'Fuente total'!E61/'Fuente total'!H9</f>
        <v>1.45</v>
      </c>
      <c r="G33" s="2">
        <f>'Fuente total'!F61/'Fuente total'!I9</f>
        <v>1.4</v>
      </c>
      <c r="H33" s="11"/>
      <c r="I33" s="4"/>
      <c r="J33" s="2">
        <f t="shared" si="0"/>
        <v>1.427</v>
      </c>
      <c r="K33" s="2">
        <f t="shared" si="1"/>
        <v>1.43</v>
      </c>
      <c r="L33" s="2"/>
      <c r="M33" s="2"/>
      <c r="O33" s="3"/>
      <c r="P33" s="6"/>
      <c r="Q33" s="59"/>
      <c r="R33" s="6"/>
      <c r="S33" s="6"/>
      <c r="T33" s="6"/>
      <c r="U33" s="6"/>
      <c r="V33" s="6"/>
      <c r="W33" s="6"/>
    </row>
    <row r="34" spans="1:23" x14ac:dyDescent="0.25">
      <c r="A34" s="4" t="s">
        <v>161</v>
      </c>
      <c r="B34" s="3" t="s">
        <v>243</v>
      </c>
      <c r="C34" s="9" t="s">
        <v>144</v>
      </c>
      <c r="D34" s="55">
        <f>'Fuente total'!F2/'Fuente total'!C54</f>
        <v>0.71428571428571441</v>
      </c>
      <c r="E34" s="55">
        <f>'Fuente total'!G2/'Fuente total'!D54</f>
        <v>0.7142857142857143</v>
      </c>
      <c r="F34" s="55">
        <f>'Fuente total'!H2/'Fuente total'!E54</f>
        <v>0.7142857142857143</v>
      </c>
      <c r="G34" s="55">
        <f>'Fuente total'!I2/'Fuente total'!F54</f>
        <v>0.68965517241379315</v>
      </c>
      <c r="H34" s="11"/>
      <c r="I34" s="4"/>
      <c r="J34" s="2">
        <f t="shared" ref="J34:J65" si="2">K34+$Q$2*(G34-K34)</f>
        <v>0.70738916256157647</v>
      </c>
      <c r="K34" s="55">
        <f t="shared" ref="K34:K65" si="3">(D34*0.2)+(E34*0.2)+(F34*0.4)+(G34*0.2)</f>
        <v>0.70935960591133018</v>
      </c>
      <c r="L34" s="55"/>
      <c r="M34" s="55"/>
      <c r="O34" s="3"/>
      <c r="P34" s="6"/>
      <c r="Q34" s="6"/>
      <c r="R34" s="6"/>
      <c r="S34" s="6"/>
      <c r="T34" s="6"/>
      <c r="U34" s="6"/>
      <c r="V34" s="6"/>
      <c r="W34" s="6"/>
    </row>
    <row r="35" spans="1:23" x14ac:dyDescent="0.25">
      <c r="A35" s="4" t="s">
        <v>161</v>
      </c>
      <c r="B35" s="3" t="s">
        <v>240</v>
      </c>
      <c r="C35" s="9" t="s">
        <v>144</v>
      </c>
      <c r="D35" s="55">
        <f>'Fuente total'!F3/'Fuente total'!C55</f>
        <v>0.68965517241379315</v>
      </c>
      <c r="E35" s="55">
        <f>'Fuente total'!G3/'Fuente total'!D55</f>
        <v>0.68965517241379315</v>
      </c>
      <c r="F35" s="55">
        <f>'Fuente total'!H3/'Fuente total'!E55</f>
        <v>0.68965517241379315</v>
      </c>
      <c r="G35" s="55">
        <f>'Fuente total'!I3/'Fuente total'!F55</f>
        <v>0.7142857142857143</v>
      </c>
      <c r="H35" s="11"/>
      <c r="I35" s="4"/>
      <c r="J35" s="2">
        <f t="shared" si="2"/>
        <v>0.69655172413793121</v>
      </c>
      <c r="K35" s="55">
        <f t="shared" si="3"/>
        <v>0.69458128078817749</v>
      </c>
      <c r="L35" s="55"/>
      <c r="M35" s="55"/>
      <c r="R35" s="27"/>
    </row>
    <row r="36" spans="1:23" x14ac:dyDescent="0.25">
      <c r="A36" s="4" t="s">
        <v>161</v>
      </c>
      <c r="B36" s="3" t="s">
        <v>242</v>
      </c>
      <c r="C36" s="9" t="s">
        <v>144</v>
      </c>
      <c r="D36" s="55">
        <f>'Fuente total'!F4/'Fuente total'!C56</f>
        <v>0.7142857142857143</v>
      </c>
      <c r="E36" s="55">
        <f>'Fuente total'!G4/'Fuente total'!D56</f>
        <v>0.71428571428571441</v>
      </c>
      <c r="F36" s="55">
        <f>'Fuente total'!H4/'Fuente total'!E56</f>
        <v>0.7142857142857143</v>
      </c>
      <c r="G36" s="55">
        <f>'Fuente total'!I4/'Fuente total'!F56</f>
        <v>0.68965517241379315</v>
      </c>
      <c r="H36" s="11"/>
      <c r="I36" s="4"/>
      <c r="J36" s="2">
        <f t="shared" si="2"/>
        <v>0.70738916256157647</v>
      </c>
      <c r="K36" s="55">
        <f t="shared" si="3"/>
        <v>0.70935960591133018</v>
      </c>
      <c r="L36" s="55"/>
      <c r="M36" s="55"/>
      <c r="R36" s="28"/>
    </row>
    <row r="37" spans="1:23" x14ac:dyDescent="0.25">
      <c r="A37" s="4" t="s">
        <v>161</v>
      </c>
      <c r="B37" s="3" t="s">
        <v>244</v>
      </c>
      <c r="C37" s="9" t="s">
        <v>144</v>
      </c>
      <c r="D37" s="55">
        <f>'Fuente total'!F5/'Fuente total'!C57</f>
        <v>0.68965517241379304</v>
      </c>
      <c r="E37" s="55">
        <f>'Fuente total'!G5/'Fuente total'!D57</f>
        <v>0.68965517241379315</v>
      </c>
      <c r="F37" s="55">
        <f>'Fuente total'!H5/'Fuente total'!E57</f>
        <v>0.68965517241379315</v>
      </c>
      <c r="G37" s="55">
        <f>'Fuente total'!I5/'Fuente total'!F57</f>
        <v>0.7142857142857143</v>
      </c>
      <c r="H37" s="11"/>
      <c r="I37" s="4"/>
      <c r="J37" s="2">
        <f t="shared" si="2"/>
        <v>0.69655172413793109</v>
      </c>
      <c r="K37" s="55">
        <f t="shared" si="3"/>
        <v>0.69458128078817738</v>
      </c>
      <c r="L37" s="55"/>
      <c r="M37" s="55"/>
      <c r="R37" s="28"/>
    </row>
    <row r="38" spans="1:23" x14ac:dyDescent="0.25">
      <c r="A38" s="4" t="s">
        <v>161</v>
      </c>
      <c r="B38" s="3" t="s">
        <v>245</v>
      </c>
      <c r="C38" s="9" t="s">
        <v>144</v>
      </c>
      <c r="D38" s="55">
        <f>'Fuente total'!F6/'Fuente total'!C58</f>
        <v>0.7142857142857143</v>
      </c>
      <c r="E38" s="55">
        <f>'Fuente total'!G6/'Fuente total'!D58</f>
        <v>0.68965517241379315</v>
      </c>
      <c r="F38" s="55">
        <f>'Fuente total'!H6/'Fuente total'!E58</f>
        <v>0.7142857142857143</v>
      </c>
      <c r="G38" s="55">
        <f>'Fuente total'!I6/'Fuente total'!F58</f>
        <v>0.68965517241379315</v>
      </c>
      <c r="H38" s="11"/>
      <c r="I38" s="4"/>
      <c r="J38" s="2">
        <f t="shared" si="2"/>
        <v>0.70295566502463069</v>
      </c>
      <c r="K38" s="55">
        <f t="shared" si="3"/>
        <v>0.70443349753694595</v>
      </c>
      <c r="L38" s="55"/>
      <c r="M38" s="55"/>
      <c r="R38" s="47"/>
    </row>
    <row r="39" spans="1:23" x14ac:dyDescent="0.25">
      <c r="A39" s="4" t="s">
        <v>161</v>
      </c>
      <c r="B39" s="3" t="s">
        <v>164</v>
      </c>
      <c r="C39" s="9" t="s">
        <v>144</v>
      </c>
      <c r="D39" s="55">
        <f>'Fuente total'!F7/'Fuente total'!C59</f>
        <v>0.68965517241379304</v>
      </c>
      <c r="E39" s="55">
        <f>'Fuente total'!G7/'Fuente total'!D59</f>
        <v>0.7142857142857143</v>
      </c>
      <c r="F39" s="55">
        <f>'Fuente total'!H7/'Fuente total'!E59</f>
        <v>0.68965517241379315</v>
      </c>
      <c r="G39" s="55">
        <f>'Fuente total'!I7/'Fuente total'!F59</f>
        <v>0.7142857142857143</v>
      </c>
      <c r="H39" s="11"/>
      <c r="I39" s="4"/>
      <c r="J39" s="2">
        <f t="shared" si="2"/>
        <v>0.70098522167487698</v>
      </c>
      <c r="K39" s="55">
        <f t="shared" si="3"/>
        <v>0.69950738916256172</v>
      </c>
      <c r="L39" s="55"/>
      <c r="M39" s="55"/>
      <c r="R39" s="47"/>
    </row>
    <row r="40" spans="1:23" x14ac:dyDescent="0.25">
      <c r="A40" s="4" t="s">
        <v>161</v>
      </c>
      <c r="B40" s="3" t="s">
        <v>241</v>
      </c>
      <c r="C40" s="9" t="s">
        <v>144</v>
      </c>
      <c r="D40" s="55">
        <f>'Fuente total'!F8/'Fuente total'!C60</f>
        <v>0.7142857142857143</v>
      </c>
      <c r="E40" s="55">
        <f>'Fuente total'!G8/'Fuente total'!D60</f>
        <v>0.68965517241379315</v>
      </c>
      <c r="F40" s="55">
        <f>'Fuente total'!H8/'Fuente total'!E60</f>
        <v>0.7142857142857143</v>
      </c>
      <c r="G40" s="55">
        <f>'Fuente total'!I8/'Fuente total'!F60</f>
        <v>0.68965517241379304</v>
      </c>
      <c r="H40" s="11"/>
      <c r="I40" s="4"/>
      <c r="J40" s="2">
        <f t="shared" si="2"/>
        <v>0.70295566502463069</v>
      </c>
      <c r="K40" s="55">
        <f t="shared" si="3"/>
        <v>0.70443349753694595</v>
      </c>
      <c r="L40" s="55"/>
      <c r="M40" s="55"/>
      <c r="R40" s="8"/>
    </row>
    <row r="41" spans="1:23" x14ac:dyDescent="0.25">
      <c r="A41" s="4" t="s">
        <v>161</v>
      </c>
      <c r="B41" s="3" t="s">
        <v>163</v>
      </c>
      <c r="C41" s="9" t="s">
        <v>144</v>
      </c>
      <c r="D41" s="55">
        <f>'Fuente total'!F9/'Fuente total'!C61</f>
        <v>0.68965517241379304</v>
      </c>
      <c r="E41" s="55">
        <f>'Fuente total'!G9/'Fuente total'!D61</f>
        <v>0.71428571428571441</v>
      </c>
      <c r="F41" s="55">
        <f>'Fuente total'!H9/'Fuente total'!E61</f>
        <v>0.68965517241379315</v>
      </c>
      <c r="G41" s="55">
        <f>'Fuente total'!I9/'Fuente total'!F61</f>
        <v>0.7142857142857143</v>
      </c>
      <c r="H41" s="11"/>
      <c r="I41" s="4"/>
      <c r="J41" s="2">
        <f t="shared" si="2"/>
        <v>0.70098522167487698</v>
      </c>
      <c r="K41" s="55">
        <f t="shared" si="3"/>
        <v>0.69950738916256172</v>
      </c>
      <c r="L41" s="55"/>
      <c r="M41" s="55"/>
      <c r="R41" s="8"/>
    </row>
    <row r="42" spans="1:23" x14ac:dyDescent="0.25">
      <c r="A42" s="4" t="s">
        <v>161</v>
      </c>
      <c r="B42" s="3" t="s">
        <v>243</v>
      </c>
      <c r="C42" s="7" t="s">
        <v>176</v>
      </c>
      <c r="D42" s="2">
        <f>'Fuente total'!F2/'Fuente total'!V2</f>
        <v>1.3199189665356006</v>
      </c>
      <c r="E42" s="2">
        <f>'Fuente total'!G2/'Fuente total'!W2</f>
        <v>1.116854989750609</v>
      </c>
      <c r="F42" s="2">
        <f>'Fuente total'!H2/'Fuente total'!X2</f>
        <v>1.25832343027791</v>
      </c>
      <c r="G42" s="2">
        <f>'Fuente total'!I2/'Fuente total'!Y2</f>
        <v>1.7687225173528169</v>
      </c>
      <c r="H42" s="11"/>
      <c r="I42" s="4"/>
      <c r="J42" s="2">
        <f t="shared" si="2"/>
        <v>1.3868580518903544</v>
      </c>
      <c r="K42" s="2">
        <f t="shared" si="3"/>
        <v>1.3444286668389696</v>
      </c>
      <c r="L42" s="2"/>
      <c r="M42" s="2"/>
      <c r="R42" s="8"/>
    </row>
    <row r="43" spans="1:23" x14ac:dyDescent="0.25">
      <c r="A43" s="4" t="s">
        <v>161</v>
      </c>
      <c r="B43" s="3" t="s">
        <v>240</v>
      </c>
      <c r="C43" s="7" t="s">
        <v>176</v>
      </c>
      <c r="D43" s="2">
        <f>'Fuente total'!F3/'Fuente total'!V3</f>
        <v>0.56646424539013263</v>
      </c>
      <c r="E43" s="2">
        <f>'Fuente total'!G3/'Fuente total'!W3</f>
        <v>0.91505764705920711</v>
      </c>
      <c r="F43" s="2">
        <f>'Fuente total'!H3/'Fuente total'!X3</f>
        <v>0.7137451284715971</v>
      </c>
      <c r="G43" s="2">
        <f>'Fuente total'!I3/'Fuente total'!Y3</f>
        <v>0.38236342738018109</v>
      </c>
      <c r="H43" s="11"/>
      <c r="I43" s="4"/>
      <c r="J43" s="2">
        <f t="shared" si="2"/>
        <v>0.63068394655710691</v>
      </c>
      <c r="K43" s="2">
        <f t="shared" si="3"/>
        <v>0.65827511535454308</v>
      </c>
      <c r="L43" s="2"/>
      <c r="M43" s="2"/>
      <c r="R43" s="8"/>
    </row>
    <row r="44" spans="1:23" x14ac:dyDescent="0.25">
      <c r="A44" s="4" t="s">
        <v>161</v>
      </c>
      <c r="B44" s="3" t="s">
        <v>242</v>
      </c>
      <c r="C44" s="7" t="s">
        <v>176</v>
      </c>
      <c r="D44" s="2">
        <f>'Fuente total'!F4/'Fuente total'!V4</f>
        <v>1.2172833187616294</v>
      </c>
      <c r="E44" s="2">
        <f>'Fuente total'!G4/'Fuente total'!W4</f>
        <v>0.20288055312693826</v>
      </c>
      <c r="F44" s="2">
        <f>'Fuente total'!H4/'Fuente total'!X4</f>
        <v>0.22316860843963207</v>
      </c>
      <c r="G44" s="2">
        <f>'Fuente total'!I4/'Fuente total'!Y4</f>
        <v>1.3166947897938295</v>
      </c>
      <c r="H44" s="11"/>
      <c r="I44" s="4"/>
      <c r="J44" s="2">
        <f t="shared" si="2"/>
        <v>0.70464473712048203</v>
      </c>
      <c r="K44" s="2">
        <f t="shared" si="3"/>
        <v>0.63663917571233231</v>
      </c>
      <c r="L44" s="2"/>
      <c r="M44" s="2"/>
      <c r="R44" s="8"/>
    </row>
    <row r="45" spans="1:23" x14ac:dyDescent="0.25">
      <c r="A45" s="4" t="s">
        <v>161</v>
      </c>
      <c r="B45" s="3" t="s">
        <v>244</v>
      </c>
      <c r="C45" s="7" t="s">
        <v>176</v>
      </c>
      <c r="D45" s="2">
        <f>'Fuente total'!F5/'Fuente total'!V5</f>
        <v>0.43416504136122136</v>
      </c>
      <c r="E45" s="2">
        <f>'Fuente total'!G5/'Fuente total'!W5</f>
        <v>2.2431860470329772</v>
      </c>
      <c r="F45" s="2">
        <f>'Fuente total'!H5/'Fuente total'!X5</f>
        <v>2.4675046517362751</v>
      </c>
      <c r="G45" s="2">
        <f>'Fuente total'!I5/'Fuente total'!Y5</f>
        <v>1.9740037213890202</v>
      </c>
      <c r="H45" s="11"/>
      <c r="I45" s="4"/>
      <c r="J45" s="2">
        <f t="shared" si="2"/>
        <v>1.9229459125249406</v>
      </c>
      <c r="K45" s="2">
        <f t="shared" si="3"/>
        <v>1.917272822651154</v>
      </c>
      <c r="L45" s="2"/>
      <c r="M45" s="2"/>
      <c r="R45" s="8"/>
    </row>
    <row r="46" spans="1:23" x14ac:dyDescent="0.25">
      <c r="A46" s="4" t="s">
        <v>161</v>
      </c>
      <c r="B46" s="3" t="s">
        <v>245</v>
      </c>
      <c r="C46" s="7" t="s">
        <v>176</v>
      </c>
      <c r="D46" s="2">
        <f>'Fuente total'!F6/'Fuente total'!V6</f>
        <v>0.71510373833439489</v>
      </c>
      <c r="E46" s="2">
        <f>'Fuente total'!G6/'Fuente total'!W6</f>
        <v>2.5028630841703818</v>
      </c>
      <c r="F46" s="2">
        <f>'Fuente total'!H6/'Fuente total'!X6</f>
        <v>2.7531493925874204</v>
      </c>
      <c r="G46" s="2">
        <f>'Fuente total'!I6/'Fuente total'!Y6</f>
        <v>3.0284643318461626</v>
      </c>
      <c r="H46" s="11"/>
      <c r="I46" s="4"/>
      <c r="J46" s="2">
        <f t="shared" si="2"/>
        <v>2.4183378222992569</v>
      </c>
      <c r="K46" s="2">
        <f t="shared" si="3"/>
        <v>2.3505459879051562</v>
      </c>
      <c r="L46" s="2"/>
      <c r="M46" s="2"/>
      <c r="R46" s="10"/>
    </row>
    <row r="47" spans="1:23" x14ac:dyDescent="0.25">
      <c r="A47" s="4" t="s">
        <v>161</v>
      </c>
      <c r="B47" s="3" t="s">
        <v>164</v>
      </c>
      <c r="C47" s="7" t="s">
        <v>176</v>
      </c>
      <c r="D47" s="2">
        <f>'Fuente total'!F7/'Fuente total'!V7</f>
        <v>1.4424714103167664</v>
      </c>
      <c r="E47" s="2">
        <f>'Fuente total'!G7/'Fuente total'!W7</f>
        <v>1.2205527318064946</v>
      </c>
      <c r="F47" s="2">
        <f>'Fuente total'!H7/'Fuente total'!X7</f>
        <v>1.2693748410787544</v>
      </c>
      <c r="G47" s="2">
        <f>'Fuente total'!I7/'Fuente total'!Y7</f>
        <v>2.312075603393446</v>
      </c>
      <c r="H47" s="11"/>
      <c r="I47" s="4"/>
      <c r="J47" s="2">
        <f t="shared" si="2"/>
        <v>1.5837004573207036</v>
      </c>
      <c r="K47" s="2">
        <f t="shared" si="3"/>
        <v>1.5027698855348435</v>
      </c>
      <c r="L47" s="2"/>
      <c r="M47" s="2"/>
      <c r="R47" s="10"/>
    </row>
    <row r="48" spans="1:23" x14ac:dyDescent="0.25">
      <c r="A48" s="4" t="s">
        <v>161</v>
      </c>
      <c r="B48" s="3" t="s">
        <v>241</v>
      </c>
      <c r="C48" s="7" t="s">
        <v>176</v>
      </c>
      <c r="D48" s="2">
        <f>'Fuente total'!F8/'Fuente total'!V8</f>
        <v>0.76617366663090647</v>
      </c>
      <c r="E48" s="2">
        <f>'Fuente total'!G8/'Fuente total'!W8</f>
        <v>2.4262166109978702</v>
      </c>
      <c r="F48" s="2">
        <f>'Fuente total'!H8/'Fuente total'!X8</f>
        <v>2.1835949498980831</v>
      </c>
      <c r="G48" s="2">
        <f>'Fuente total'!I8/'Fuente total'!Y8</f>
        <v>1.7468759599184669</v>
      </c>
      <c r="H48" s="11"/>
      <c r="I48" s="4"/>
      <c r="J48" s="2">
        <f t="shared" si="2"/>
        <v>1.8498497007136607</v>
      </c>
      <c r="K48" s="2">
        <f t="shared" si="3"/>
        <v>1.8612912274686821</v>
      </c>
      <c r="L48" s="2"/>
      <c r="M48" s="2"/>
      <c r="R48" s="29"/>
    </row>
    <row r="49" spans="1:18" x14ac:dyDescent="0.25">
      <c r="A49" s="4" t="s">
        <v>161</v>
      </c>
      <c r="B49" s="3" t="s">
        <v>163</v>
      </c>
      <c r="C49" s="7" t="s">
        <v>176</v>
      </c>
      <c r="D49" s="2">
        <f>'Fuente total'!F9/'Fuente total'!V9</f>
        <v>0.83687956981164902</v>
      </c>
      <c r="E49" s="2">
        <f>'Fuente total'!G9/'Fuente total'!W9</f>
        <v>2.2316788528310645</v>
      </c>
      <c r="F49" s="2">
        <f>'Fuente total'!H9/'Fuente total'!X9</f>
        <v>1.7853430822648517</v>
      </c>
      <c r="G49" s="2">
        <f>'Fuente total'!I9/'Fuente total'!Y9</f>
        <v>0.71413723290594067</v>
      </c>
      <c r="H49" s="11"/>
      <c r="I49" s="4"/>
      <c r="J49" s="2">
        <f t="shared" si="2"/>
        <v>1.3950224509046985</v>
      </c>
      <c r="K49" s="2">
        <f t="shared" si="3"/>
        <v>1.4706763640156715</v>
      </c>
      <c r="L49" s="2"/>
      <c r="M49" s="2"/>
      <c r="R49" s="29"/>
    </row>
    <row r="50" spans="1:18" x14ac:dyDescent="0.25">
      <c r="A50" s="4" t="s">
        <v>161</v>
      </c>
      <c r="B50" s="3" t="s">
        <v>243</v>
      </c>
      <c r="C50" s="7" t="s">
        <v>39</v>
      </c>
      <c r="D50" s="2">
        <f>'Fuente total'!N2/'Fuente total'!AD2</f>
        <v>0.60716272460637621</v>
      </c>
      <c r="E50" s="2">
        <f>'Fuente total'!O2/'Fuente total'!AE2</f>
        <v>0.44303572419821013</v>
      </c>
      <c r="F50" s="2">
        <f>'Fuente total'!P2/'Fuente total'!AF2</f>
        <v>0.53688466358524167</v>
      </c>
      <c r="G50" s="2">
        <f>'Fuente total'!Q2/'Fuente total'!AG2</f>
        <v>0.82147334694830831</v>
      </c>
      <c r="H50" s="11"/>
      <c r="I50" s="4"/>
      <c r="J50" s="2">
        <f t="shared" si="2"/>
        <v>0.612326736821039</v>
      </c>
      <c r="K50" s="2">
        <f t="shared" si="3"/>
        <v>0.58908822458467569</v>
      </c>
      <c r="L50" s="2"/>
      <c r="M50" s="2"/>
      <c r="R50" s="10"/>
    </row>
    <row r="51" spans="1:18" x14ac:dyDescent="0.25">
      <c r="A51" s="4" t="s">
        <v>161</v>
      </c>
      <c r="B51" s="3" t="s">
        <v>240</v>
      </c>
      <c r="C51" s="7" t="s">
        <v>39</v>
      </c>
      <c r="D51" s="2">
        <f>'Fuente total'!N3/'Fuente total'!AD3</f>
        <v>0.2152564132482504</v>
      </c>
      <c r="E51" s="2">
        <f>'Fuente total'!O3/'Fuente total'!AE3</f>
        <v>0.34568844444458929</v>
      </c>
      <c r="F51" s="2">
        <f>'Fuente total'!P3/'Fuente total'!AF3</f>
        <v>0.26646904052644821</v>
      </c>
      <c r="G51" s="2">
        <f>'Fuente total'!Q3/'Fuente total'!AG3</f>
        <v>0.1452981024044688</v>
      </c>
      <c r="H51" s="11"/>
      <c r="I51" s="4"/>
      <c r="J51" s="2">
        <f t="shared" si="2"/>
        <v>0.23758239764748376</v>
      </c>
      <c r="K51" s="2">
        <f t="shared" si="3"/>
        <v>0.24783620823004099</v>
      </c>
      <c r="L51" s="2"/>
      <c r="M51" s="2"/>
      <c r="R51" s="10"/>
    </row>
    <row r="52" spans="1:18" x14ac:dyDescent="0.25">
      <c r="A52" s="4" t="s">
        <v>161</v>
      </c>
      <c r="B52" s="3" t="s">
        <v>242</v>
      </c>
      <c r="C52" s="7" t="s">
        <v>39</v>
      </c>
      <c r="D52" s="2">
        <f>'Fuente total'!N4/'Fuente total'!AD4</f>
        <v>0.43822199475418661</v>
      </c>
      <c r="E52" s="2">
        <f>'Fuente total'!O4/'Fuente total'!AE4</f>
        <v>8.0475952740352172E-2</v>
      </c>
      <c r="F52" s="2">
        <f>'Fuente total'!P4/'Fuente total'!AF4</f>
        <v>7.9348838556313639E-2</v>
      </c>
      <c r="G52" s="2">
        <f>'Fuente total'!Q4/'Fuente total'!AG4</f>
        <v>0.5281409101284138</v>
      </c>
      <c r="H52" s="11"/>
      <c r="I52" s="4"/>
      <c r="J52" s="2">
        <f t="shared" si="2"/>
        <v>0.26981066726524572</v>
      </c>
      <c r="K52" s="2">
        <f t="shared" si="3"/>
        <v>0.24110730694711596</v>
      </c>
      <c r="L52" s="2"/>
      <c r="M52" s="2"/>
      <c r="R52" s="8"/>
    </row>
    <row r="53" spans="1:18" x14ac:dyDescent="0.25">
      <c r="A53" s="4" t="s">
        <v>161</v>
      </c>
      <c r="B53" s="3" t="s">
        <v>244</v>
      </c>
      <c r="C53" s="7" t="s">
        <v>39</v>
      </c>
      <c r="D53" s="2">
        <f>'Fuente total'!N5/'Fuente total'!AD5</f>
        <v>0.16498271571726414</v>
      </c>
      <c r="E53" s="2">
        <f>'Fuente total'!O5/'Fuente total'!AE5</f>
        <v>0.84742583999023569</v>
      </c>
      <c r="F53" s="2">
        <f>'Fuente total'!P5/'Fuente total'!AF5</f>
        <v>0.92155939997394143</v>
      </c>
      <c r="G53" s="2">
        <f>'Fuente total'!Q5/'Fuente total'!AG5</f>
        <v>0.75012141412782751</v>
      </c>
      <c r="H53" s="11"/>
      <c r="I53" s="4"/>
      <c r="J53" s="2">
        <f t="shared" si="2"/>
        <v>0.72402891997376062</v>
      </c>
      <c r="K53" s="2">
        <f t="shared" si="3"/>
        <v>0.72112975395664214</v>
      </c>
      <c r="L53" s="2"/>
      <c r="M53" s="2"/>
      <c r="R53" s="8"/>
    </row>
    <row r="54" spans="1:18" x14ac:dyDescent="0.25">
      <c r="A54" s="4" t="s">
        <v>161</v>
      </c>
      <c r="B54" s="3" t="s">
        <v>245</v>
      </c>
      <c r="C54" s="7" t="s">
        <v>39</v>
      </c>
      <c r="D54" s="2">
        <f>'Fuente total'!N6/'Fuente total'!AD6</f>
        <v>0.28604149533375794</v>
      </c>
      <c r="E54" s="2">
        <f>'Fuente total'!O6/'Fuente total'!AE6</f>
        <v>0.99280235672091799</v>
      </c>
      <c r="F54" s="2">
        <f>'Fuente total'!P6/'Fuente total'!AF6</f>
        <v>0.97889756180886067</v>
      </c>
      <c r="G54" s="2">
        <f>'Fuente total'!Q6/'Fuente total'!AG6</f>
        <v>1.2147506931071828</v>
      </c>
      <c r="H54" s="11"/>
      <c r="J54" s="2">
        <f t="shared" si="2"/>
        <v>0.92272520969104277</v>
      </c>
      <c r="K54" s="2">
        <f t="shared" si="3"/>
        <v>0.89027793375591613</v>
      </c>
      <c r="L54" s="2"/>
      <c r="M54" s="2"/>
    </row>
    <row r="55" spans="1:18" x14ac:dyDescent="0.25">
      <c r="A55" s="4" t="s">
        <v>161</v>
      </c>
      <c r="B55" s="3" t="s">
        <v>164</v>
      </c>
      <c r="C55" s="7" t="s">
        <v>39</v>
      </c>
      <c r="D55" s="2">
        <f>'Fuente total'!N7/'Fuente total'!AD7</f>
        <v>0.66401076194076247</v>
      </c>
      <c r="E55" s="2">
        <f>'Fuente total'!O7/'Fuente total'!AE7</f>
        <v>0.4841525836165762</v>
      </c>
      <c r="F55" s="2">
        <f>'Fuente total'!P7/'Fuente total'!AF7</f>
        <v>0.54159993219360181</v>
      </c>
      <c r="G55" s="2">
        <f>'Fuente total'!Q7/'Fuente total'!AG7</f>
        <v>0.90427845821610331</v>
      </c>
      <c r="H55" s="11"/>
      <c r="J55" s="2">
        <f t="shared" si="2"/>
        <v>0.65484334609052652</v>
      </c>
      <c r="K55" s="2">
        <f t="shared" si="3"/>
        <v>0.62712833363212916</v>
      </c>
      <c r="L55" s="2"/>
      <c r="M55" s="2"/>
    </row>
    <row r="56" spans="1:18" x14ac:dyDescent="0.25">
      <c r="A56" s="4" t="s">
        <v>161</v>
      </c>
      <c r="B56" s="3" t="s">
        <v>241</v>
      </c>
      <c r="C56" s="7" t="s">
        <v>39</v>
      </c>
      <c r="D56" s="2">
        <f>'Fuente total'!N8/'Fuente total'!AD8</f>
        <v>0.29114599331974444</v>
      </c>
      <c r="E56" s="2">
        <f>'Fuente total'!O8/'Fuente total'!AE8</f>
        <v>0.91657071971030657</v>
      </c>
      <c r="F56" s="2">
        <f>'Fuente total'!P8/'Fuente total'!AF8</f>
        <v>0.81520878129528429</v>
      </c>
      <c r="G56" s="2">
        <f>'Fuente total'!Q8/'Fuente total'!AG8</f>
        <v>0.66381286476901735</v>
      </c>
      <c r="H56" s="11"/>
      <c r="J56" s="2">
        <f t="shared" si="2"/>
        <v>0.69673177174703638</v>
      </c>
      <c r="K56" s="2">
        <f t="shared" si="3"/>
        <v>0.70038942807792737</v>
      </c>
      <c r="L56" s="2"/>
      <c r="M56" s="2"/>
    </row>
    <row r="57" spans="1:18" x14ac:dyDescent="0.25">
      <c r="A57" s="4" t="s">
        <v>161</v>
      </c>
      <c r="B57" s="3" t="s">
        <v>163</v>
      </c>
      <c r="C57" s="7" t="s">
        <v>39</v>
      </c>
      <c r="D57" s="2">
        <f>'Fuente total'!N9/'Fuente total'!AD9</f>
        <v>0.38496460211335859</v>
      </c>
      <c r="E57" s="2">
        <f>'Fuente total'!O9/'Fuente total'!AE9</f>
        <v>0.88523261162298883</v>
      </c>
      <c r="F57" s="2">
        <f>'Fuente total'!P9/'Fuente total'!AF9</f>
        <v>0.7617463817663368</v>
      </c>
      <c r="G57" s="2">
        <f>'Fuente total'!Q9/'Fuente total'!AG9</f>
        <v>0.33167707039409239</v>
      </c>
      <c r="H57" s="11"/>
      <c r="J57" s="2">
        <f t="shared" si="2"/>
        <v>0.59573377561876972</v>
      </c>
      <c r="K57" s="2">
        <f t="shared" si="3"/>
        <v>0.6250734095326228</v>
      </c>
      <c r="L57" s="2"/>
      <c r="M57" s="2"/>
    </row>
    <row r="58" spans="1:18" x14ac:dyDescent="0.25">
      <c r="A58" s="4" t="s">
        <v>161</v>
      </c>
      <c r="B58" s="3" t="s">
        <v>243</v>
      </c>
      <c r="C58" s="9" t="s">
        <v>177</v>
      </c>
      <c r="D58" s="47">
        <f>('Fuente total'!N2*1)/'Fuente total'!C54</f>
        <v>0.29571428571428576</v>
      </c>
      <c r="E58" s="47">
        <f>('Fuente total'!O2*1)/'Fuente total'!D54</f>
        <v>0.255</v>
      </c>
      <c r="F58" s="47">
        <f>('Fuente total'!P2*1)/'Fuente total'!E54</f>
        <v>0.2742857142857143</v>
      </c>
      <c r="G58" s="47">
        <f>('Fuente total'!Q2*1)/'Fuente total'!F54</f>
        <v>0.28827586206896549</v>
      </c>
      <c r="H58" s="11"/>
      <c r="J58" s="2">
        <f t="shared" si="2"/>
        <v>0.27858866995073889</v>
      </c>
      <c r="K58" s="10">
        <f t="shared" si="3"/>
        <v>0.27751231527093595</v>
      </c>
      <c r="L58" s="10"/>
      <c r="M58" s="10"/>
    </row>
    <row r="59" spans="1:18" x14ac:dyDescent="0.25">
      <c r="A59" s="4" t="s">
        <v>161</v>
      </c>
      <c r="B59" s="3" t="s">
        <v>240</v>
      </c>
      <c r="C59" s="9" t="s">
        <v>177</v>
      </c>
      <c r="D59" s="47">
        <f>('Fuente total'!N3*1)/'Fuente total'!C55</f>
        <v>0.23586206896551723</v>
      </c>
      <c r="E59" s="47">
        <f>('Fuente total'!O3*1)/'Fuente total'!D55</f>
        <v>0.23448275862068968</v>
      </c>
      <c r="F59" s="47">
        <f>('Fuente total'!P3*1)/'Fuente total'!E55</f>
        <v>0.23172413793103447</v>
      </c>
      <c r="G59" s="47">
        <f>('Fuente total'!Q3*1)/'Fuente total'!F55</f>
        <v>0.24428571428571427</v>
      </c>
      <c r="H59" s="11"/>
      <c r="J59" s="2">
        <f t="shared" si="2"/>
        <v>0.23648275862068965</v>
      </c>
      <c r="K59" s="10">
        <f t="shared" si="3"/>
        <v>0.23561576354679803</v>
      </c>
      <c r="L59" s="10"/>
      <c r="M59" s="10"/>
    </row>
    <row r="60" spans="1:18" x14ac:dyDescent="0.25">
      <c r="A60" s="4" t="s">
        <v>161</v>
      </c>
      <c r="B60" s="3" t="s">
        <v>242</v>
      </c>
      <c r="C60" s="9" t="s">
        <v>177</v>
      </c>
      <c r="D60" s="47">
        <f>('Fuente total'!N4*1)/'Fuente total'!C56</f>
        <v>0.23142857142857143</v>
      </c>
      <c r="E60" s="47">
        <f>('Fuente total'!O4*1)/'Fuente total'!D56</f>
        <v>0.255</v>
      </c>
      <c r="F60" s="47">
        <f>('Fuente total'!P4*1)/'Fuente total'!E56</f>
        <v>0.22857142857142862</v>
      </c>
      <c r="G60" s="47">
        <f>('Fuente total'!Q4*1)/'Fuente total'!F56</f>
        <v>0.24896551724137933</v>
      </c>
      <c r="H60" s="11"/>
      <c r="J60" s="2">
        <f t="shared" si="2"/>
        <v>0.23955320197044339</v>
      </c>
      <c r="K60" s="10">
        <f t="shared" si="3"/>
        <v>0.23850738916256162</v>
      </c>
      <c r="L60" s="10"/>
      <c r="M60" s="10"/>
    </row>
    <row r="61" spans="1:18" x14ac:dyDescent="0.25">
      <c r="A61" s="4" t="s">
        <v>161</v>
      </c>
      <c r="B61" s="3" t="s">
        <v>244</v>
      </c>
      <c r="C61" s="9" t="s">
        <v>177</v>
      </c>
      <c r="D61" s="47">
        <f>('Fuente total'!N5*1)/'Fuente total'!C57</f>
        <v>0.23586206896551726</v>
      </c>
      <c r="E61" s="47">
        <f>('Fuente total'!O5*1)/'Fuente total'!D57</f>
        <v>0.23448275862068965</v>
      </c>
      <c r="F61" s="47">
        <f>('Fuente total'!P5*1)/'Fuente total'!E57</f>
        <v>0.23172413793103447</v>
      </c>
      <c r="G61" s="47">
        <f>('Fuente total'!Q5*1)/'Fuente total'!F57</f>
        <v>0.24428571428571427</v>
      </c>
      <c r="H61" s="11"/>
      <c r="J61" s="2">
        <f t="shared" si="2"/>
        <v>0.23648275862068965</v>
      </c>
      <c r="K61" s="10">
        <f t="shared" si="3"/>
        <v>0.23561576354679803</v>
      </c>
      <c r="L61" s="10"/>
      <c r="M61" s="10"/>
    </row>
    <row r="62" spans="1:18" x14ac:dyDescent="0.25">
      <c r="A62" s="4" t="s">
        <v>161</v>
      </c>
      <c r="B62" s="3" t="s">
        <v>245</v>
      </c>
      <c r="C62" s="9" t="s">
        <v>177</v>
      </c>
      <c r="D62" s="47">
        <f>('Fuente total'!N6*1)/'Fuente total'!C58</f>
        <v>0.25714285714285717</v>
      </c>
      <c r="E62" s="47">
        <f>('Fuente total'!O6*1)/'Fuente total'!D58</f>
        <v>0.24620689655172412</v>
      </c>
      <c r="F62" s="47">
        <f>('Fuente total'!P6*1)/'Fuente total'!E58</f>
        <v>0.22857142857142859</v>
      </c>
      <c r="G62" s="47">
        <f>('Fuente total'!Q6*1)/'Fuente total'!F58</f>
        <v>0.2489655172413793</v>
      </c>
      <c r="H62" s="11"/>
      <c r="J62" s="2">
        <f t="shared" si="2"/>
        <v>0.24259901477832516</v>
      </c>
      <c r="K62" s="10">
        <f t="shared" si="3"/>
        <v>0.24189162561576358</v>
      </c>
      <c r="L62" s="10"/>
      <c r="M62" s="10"/>
    </row>
    <row r="63" spans="1:18" x14ac:dyDescent="0.25">
      <c r="A63" s="4" t="s">
        <v>161</v>
      </c>
      <c r="B63" s="3" t="s">
        <v>164</v>
      </c>
      <c r="C63" s="9" t="s">
        <v>177</v>
      </c>
      <c r="D63" s="47">
        <f>('Fuente total'!N7*1)/'Fuente total'!C59</f>
        <v>0.28551724137931034</v>
      </c>
      <c r="E63" s="47">
        <f>('Fuente total'!O7*1)/'Fuente total'!D59</f>
        <v>0.255</v>
      </c>
      <c r="F63" s="47">
        <f>('Fuente total'!P7*1)/'Fuente total'!E59</f>
        <v>0.26482758620689656</v>
      </c>
      <c r="G63" s="47">
        <f>('Fuente total'!Q7*1)/'Fuente total'!F59</f>
        <v>0.25142857142857145</v>
      </c>
      <c r="H63" s="11"/>
      <c r="J63" s="2">
        <f t="shared" si="2"/>
        <v>0.26303103448275861</v>
      </c>
      <c r="K63" s="10">
        <f t="shared" si="3"/>
        <v>0.26432019704433496</v>
      </c>
      <c r="L63" s="10"/>
      <c r="M63" s="10"/>
    </row>
    <row r="64" spans="1:18" x14ac:dyDescent="0.25">
      <c r="A64" s="4" t="s">
        <v>161</v>
      </c>
      <c r="B64" s="3" t="s">
        <v>241</v>
      </c>
      <c r="C64" s="9" t="s">
        <v>177</v>
      </c>
      <c r="D64" s="47">
        <f>('Fuente total'!N8*1)/'Fuente total'!C60</f>
        <v>0.2442857142857143</v>
      </c>
      <c r="E64" s="47">
        <f>('Fuente total'!O8*1)/'Fuente total'!D60</f>
        <v>0.23448275862068971</v>
      </c>
      <c r="F64" s="47">
        <f>('Fuente total'!P8*1)/'Fuente total'!E60</f>
        <v>0.24</v>
      </c>
      <c r="G64" s="47">
        <f>('Fuente total'!Q8*1)/'Fuente total'!F60</f>
        <v>0.2358620689655172</v>
      </c>
      <c r="H64" s="11"/>
      <c r="J64" s="2">
        <f t="shared" si="2"/>
        <v>0.23861970443349753</v>
      </c>
      <c r="K64" s="10">
        <f t="shared" si="3"/>
        <v>0.23892610837438424</v>
      </c>
      <c r="L64" s="10"/>
      <c r="M64" s="10"/>
    </row>
    <row r="65" spans="1:13" x14ac:dyDescent="0.25">
      <c r="A65" s="4" t="s">
        <v>161</v>
      </c>
      <c r="B65" s="3" t="s">
        <v>163</v>
      </c>
      <c r="C65" s="9" t="s">
        <v>177</v>
      </c>
      <c r="D65" s="47">
        <f>('Fuente total'!N9*1)/'Fuente total'!C61</f>
        <v>0.28551724137931034</v>
      </c>
      <c r="E65" s="47">
        <f>('Fuente total'!O9*1)/'Fuente total'!D61</f>
        <v>0.25500000000000006</v>
      </c>
      <c r="F65" s="47">
        <f>('Fuente total'!P9*1)/'Fuente total'!E61</f>
        <v>0.26482758620689656</v>
      </c>
      <c r="G65" s="47">
        <f>('Fuente total'!Q9*1)/'Fuente total'!F61</f>
        <v>0.2985714285714286</v>
      </c>
      <c r="H65" s="11"/>
      <c r="J65" s="2">
        <f t="shared" si="2"/>
        <v>0.27623103448275865</v>
      </c>
      <c r="K65" s="10">
        <f t="shared" si="3"/>
        <v>0.27374876847290641</v>
      </c>
      <c r="L65" s="10"/>
      <c r="M65" s="10"/>
    </row>
    <row r="66" spans="1:13" x14ac:dyDescent="0.25">
      <c r="A66" s="4" t="s">
        <v>161</v>
      </c>
      <c r="B66" s="3" t="s">
        <v>243</v>
      </c>
      <c r="C66" s="7" t="s">
        <v>40</v>
      </c>
      <c r="D66" t="s">
        <v>44</v>
      </c>
      <c r="E66" s="4" t="s">
        <v>44</v>
      </c>
      <c r="F66" s="4" t="s">
        <v>44</v>
      </c>
      <c r="G66" s="4" t="s">
        <v>44</v>
      </c>
      <c r="H66" s="11"/>
      <c r="J66" s="2" t="e">
        <f t="shared" ref="J66:J97" si="4">K66+$Q$2*(G66-K66)</f>
        <v>#VALUE!</v>
      </c>
      <c r="K66" s="4" t="s">
        <v>44</v>
      </c>
    </row>
    <row r="67" spans="1:13" x14ac:dyDescent="0.25">
      <c r="A67" s="4" t="s">
        <v>161</v>
      </c>
      <c r="B67" s="3" t="s">
        <v>240</v>
      </c>
      <c r="C67" s="7" t="s">
        <v>40</v>
      </c>
      <c r="D67" s="4" t="s">
        <v>44</v>
      </c>
      <c r="E67" s="4" t="s">
        <v>44</v>
      </c>
      <c r="F67" s="4" t="s">
        <v>44</v>
      </c>
      <c r="G67" s="4" t="s">
        <v>44</v>
      </c>
      <c r="H67" s="11"/>
      <c r="J67" s="2" t="e">
        <f t="shared" si="4"/>
        <v>#VALUE!</v>
      </c>
      <c r="K67" s="4" t="s">
        <v>44</v>
      </c>
    </row>
    <row r="68" spans="1:13" x14ac:dyDescent="0.25">
      <c r="A68" s="4" t="s">
        <v>161</v>
      </c>
      <c r="B68" s="3" t="s">
        <v>242</v>
      </c>
      <c r="C68" s="7" t="s">
        <v>40</v>
      </c>
      <c r="D68" s="4" t="s">
        <v>44</v>
      </c>
      <c r="E68" s="4" t="s">
        <v>44</v>
      </c>
      <c r="F68" s="4" t="s">
        <v>44</v>
      </c>
      <c r="G68" s="4" t="s">
        <v>44</v>
      </c>
      <c r="H68" s="11"/>
      <c r="J68" s="2" t="e">
        <f t="shared" si="4"/>
        <v>#VALUE!</v>
      </c>
      <c r="K68" s="4" t="s">
        <v>44</v>
      </c>
    </row>
    <row r="69" spans="1:13" x14ac:dyDescent="0.25">
      <c r="A69" s="4" t="s">
        <v>161</v>
      </c>
      <c r="B69" s="3" t="s">
        <v>244</v>
      </c>
      <c r="C69" s="7" t="s">
        <v>40</v>
      </c>
      <c r="D69" s="4" t="s">
        <v>44</v>
      </c>
      <c r="E69" s="4" t="s">
        <v>44</v>
      </c>
      <c r="F69" s="4" t="s">
        <v>44</v>
      </c>
      <c r="G69" s="4" t="s">
        <v>44</v>
      </c>
      <c r="H69" s="11"/>
      <c r="J69" s="2" t="e">
        <f t="shared" si="4"/>
        <v>#VALUE!</v>
      </c>
      <c r="K69" s="4" t="s">
        <v>44</v>
      </c>
    </row>
    <row r="70" spans="1:13" x14ac:dyDescent="0.25">
      <c r="A70" s="4" t="s">
        <v>161</v>
      </c>
      <c r="B70" s="3" t="s">
        <v>245</v>
      </c>
      <c r="C70" s="7" t="s">
        <v>40</v>
      </c>
      <c r="D70" s="4" t="s">
        <v>44</v>
      </c>
      <c r="E70" s="4" t="s">
        <v>44</v>
      </c>
      <c r="F70" s="4" t="s">
        <v>44</v>
      </c>
      <c r="G70" s="4" t="s">
        <v>44</v>
      </c>
      <c r="H70" s="11"/>
      <c r="J70" s="2" t="e">
        <f t="shared" si="4"/>
        <v>#VALUE!</v>
      </c>
      <c r="K70" s="4" t="s">
        <v>44</v>
      </c>
    </row>
    <row r="71" spans="1:13" x14ac:dyDescent="0.25">
      <c r="A71" s="4" t="s">
        <v>161</v>
      </c>
      <c r="B71" s="3" t="s">
        <v>164</v>
      </c>
      <c r="C71" s="7" t="s">
        <v>40</v>
      </c>
      <c r="D71" s="11">
        <f>('Fuente total'!N7*100)/'Fuente total'!$J$12</f>
        <v>33055.134280554747</v>
      </c>
      <c r="E71" s="11">
        <f>('Fuente total'!O7*100)/'Fuente total'!$J$12</f>
        <v>31354.471574816063</v>
      </c>
      <c r="F71" s="11">
        <f>('Fuente total'!P7*100)/'Fuente total'!$J$12</f>
        <v>40470.98179740963</v>
      </c>
      <c r="G71" s="11">
        <f>('Fuente total'!Q7*100)/'Fuente total'!$J$12</f>
        <v>63067.27996763002</v>
      </c>
      <c r="H71" s="11"/>
      <c r="J71" s="2">
        <f t="shared" si="4"/>
        <v>43822.120891970619</v>
      </c>
      <c r="K71" s="2">
        <f>(D71*0.2)+(E71*0.2)+(F71*0.4)+(G71*0.2)</f>
        <v>41683.769883564019</v>
      </c>
      <c r="L71" s="2"/>
      <c r="M71" s="2"/>
    </row>
    <row r="72" spans="1:13" x14ac:dyDescent="0.25">
      <c r="A72" s="4" t="s">
        <v>161</v>
      </c>
      <c r="B72" s="3" t="s">
        <v>241</v>
      </c>
      <c r="C72" s="7" t="s">
        <v>40</v>
      </c>
      <c r="D72" s="11" t="s">
        <v>44</v>
      </c>
      <c r="E72" s="11" t="s">
        <v>44</v>
      </c>
      <c r="F72" s="11" t="s">
        <v>44</v>
      </c>
      <c r="G72" s="11" t="s">
        <v>44</v>
      </c>
      <c r="H72" s="11"/>
      <c r="J72" s="2" t="e">
        <f t="shared" si="4"/>
        <v>#VALUE!</v>
      </c>
      <c r="K72" s="4" t="s">
        <v>44</v>
      </c>
    </row>
    <row r="73" spans="1:13" x14ac:dyDescent="0.25">
      <c r="A73" s="4" t="s">
        <v>161</v>
      </c>
      <c r="B73" s="3" t="s">
        <v>163</v>
      </c>
      <c r="C73" s="7" t="s">
        <v>40</v>
      </c>
      <c r="D73" s="11">
        <f>('Fuente total'!N9*100)/'Fuente total'!$J$13</f>
        <v>13055.074529142858</v>
      </c>
      <c r="E73" s="11">
        <f>('Fuente total'!O9*100)/'Fuente total'!$J$13</f>
        <v>18012.218770643482</v>
      </c>
      <c r="F73" s="11">
        <f>('Fuente total'!P9*100)/'Fuente total'!$J$13</f>
        <v>15499.589933730193</v>
      </c>
      <c r="G73" s="11">
        <f>('Fuente total'!Q9*100)/'Fuente total'!$J$13</f>
        <v>6748.77978364502</v>
      </c>
      <c r="H73" s="11"/>
      <c r="J73" s="2">
        <f t="shared" si="4"/>
        <v>13061.623509525018</v>
      </c>
      <c r="K73" s="2">
        <f>(D73*0.2)+(E73*0.2)+(F73*0.4)+(G73*0.2)</f>
        <v>13763.050590178351</v>
      </c>
      <c r="L73" s="2"/>
      <c r="M73" s="2"/>
    </row>
    <row r="74" spans="1:13" x14ac:dyDescent="0.25">
      <c r="A74" s="4" t="s">
        <v>161</v>
      </c>
      <c r="B74" s="3" t="s">
        <v>243</v>
      </c>
      <c r="C74" s="9" t="s">
        <v>131</v>
      </c>
      <c r="D74" s="40">
        <f>'Fuente total'!M43</f>
        <v>6782873.7000000002</v>
      </c>
      <c r="E74" s="40">
        <f>'Fuente total'!N43</f>
        <v>9542912.9952755906</v>
      </c>
      <c r="F74" s="40">
        <f>'Fuente total'!O43</f>
        <v>11105287.666666666</v>
      </c>
      <c r="G74" s="8" t="str">
        <f>'Fuente total'!P43</f>
        <v>Ya no terceriza</v>
      </c>
      <c r="H74" s="11"/>
      <c r="J74" s="8" t="s">
        <v>123</v>
      </c>
      <c r="K74" s="2" t="s">
        <v>123</v>
      </c>
      <c r="L74" s="2"/>
      <c r="M74" s="2"/>
    </row>
    <row r="75" spans="1:13" x14ac:dyDescent="0.25">
      <c r="A75" s="4" t="s">
        <v>161</v>
      </c>
      <c r="B75" s="3" t="s">
        <v>240</v>
      </c>
      <c r="C75" s="9" t="s">
        <v>131</v>
      </c>
      <c r="D75" s="2">
        <f>'Fuente total'!M44</f>
        <v>6529033.6926315771</v>
      </c>
      <c r="E75" s="2">
        <f>'Fuente total'!N44</f>
        <v>9076231.9483146053</v>
      </c>
      <c r="F75" s="2">
        <f>'Fuente total'!O44</f>
        <v>10026516.838709675</v>
      </c>
      <c r="G75" s="2">
        <f>'Fuente total'!P44</f>
        <v>9457427.6086956505</v>
      </c>
      <c r="H75" s="11"/>
      <c r="J75" s="2">
        <f t="shared" si="4"/>
        <v>9066573.6077405773</v>
      </c>
      <c r="K75" s="2">
        <f t="shared" ref="K75:K114" si="5">(D75*0.2)+(E75*0.2)+(F75*0.4)+(G75*0.2)</f>
        <v>9023145.3854122367</v>
      </c>
      <c r="L75" s="2"/>
      <c r="M75" s="2"/>
    </row>
    <row r="76" spans="1:13" x14ac:dyDescent="0.25">
      <c r="A76" s="4" t="s">
        <v>161</v>
      </c>
      <c r="B76" s="3" t="s">
        <v>242</v>
      </c>
      <c r="C76" s="9" t="s">
        <v>131</v>
      </c>
      <c r="D76" s="2">
        <f>'Fuente total'!M45</f>
        <v>236682.23249999995</v>
      </c>
      <c r="E76" s="2">
        <f>'Fuente total'!N45</f>
        <v>134396.6658461538</v>
      </c>
      <c r="F76" s="2">
        <f>'Fuente total'!O45</f>
        <v>123485.53187628899</v>
      </c>
      <c r="G76" s="2">
        <f>'Fuente total'!P45</f>
        <v>121796.90399999998</v>
      </c>
      <c r="H76" s="11"/>
      <c r="J76" s="2">
        <f t="shared" si="4"/>
        <v>145352.1262977717</v>
      </c>
      <c r="K76" s="2">
        <f t="shared" si="5"/>
        <v>147969.37321974634</v>
      </c>
      <c r="L76" s="2"/>
      <c r="M76" s="2"/>
    </row>
    <row r="77" spans="1:13" x14ac:dyDescent="0.25">
      <c r="A77" s="4" t="s">
        <v>161</v>
      </c>
      <c r="B77" s="3" t="s">
        <v>244</v>
      </c>
      <c r="C77" s="9" t="s">
        <v>131</v>
      </c>
      <c r="D77" s="2">
        <f>'Fuente total'!M46</f>
        <v>669529.10425531911</v>
      </c>
      <c r="E77" s="2">
        <f>'Fuente total'!N46</f>
        <v>389507.97290322575</v>
      </c>
      <c r="F77" s="2">
        <f>'Fuente total'!O46</f>
        <v>404033.16983169242</v>
      </c>
      <c r="G77" s="2">
        <f>'Fuente total'!P46</f>
        <v>389507.97290322575</v>
      </c>
      <c r="H77" s="11"/>
      <c r="J77" s="2">
        <f t="shared" si="4"/>
        <v>445140.84744085057</v>
      </c>
      <c r="K77" s="2">
        <f t="shared" si="5"/>
        <v>451322.27794503112</v>
      </c>
      <c r="L77" s="2"/>
      <c r="M77" s="2"/>
    </row>
    <row r="78" spans="1:13" x14ac:dyDescent="0.25">
      <c r="A78" s="4" t="s">
        <v>161</v>
      </c>
      <c r="B78" s="3" t="s">
        <v>245</v>
      </c>
      <c r="C78" s="9" t="s">
        <v>131</v>
      </c>
      <c r="D78" s="2">
        <f>'Fuente total'!M47</f>
        <v>333487.63957894733</v>
      </c>
      <c r="E78" s="2">
        <f>'Fuente total'!N47</f>
        <v>183292.58374736842</v>
      </c>
      <c r="F78" s="2">
        <f>'Fuente total'!O47</f>
        <v>183292.58374736842</v>
      </c>
      <c r="G78" s="2">
        <f>'Fuente total'!P47</f>
        <v>201213.58472727268</v>
      </c>
      <c r="H78" s="11"/>
      <c r="J78" s="2">
        <f t="shared" si="4"/>
        <v>215345.57407142583</v>
      </c>
      <c r="K78" s="2">
        <f t="shared" si="5"/>
        <v>216915.79510966508</v>
      </c>
      <c r="L78" s="2"/>
      <c r="M78" s="2"/>
    </row>
    <row r="79" spans="1:13" x14ac:dyDescent="0.25">
      <c r="A79" s="4" t="s">
        <v>161</v>
      </c>
      <c r="B79" s="3" t="s">
        <v>164</v>
      </c>
      <c r="C79" s="9" t="s">
        <v>131</v>
      </c>
      <c r="D79" s="2">
        <f>'Fuente total'!M48</f>
        <v>442664.75217391289</v>
      </c>
      <c r="E79" s="2">
        <f>'Fuente total'!N48</f>
        <v>555586.6428865979</v>
      </c>
      <c r="F79" s="2">
        <f>'Fuente total'!O48</f>
        <v>661404.67337740364</v>
      </c>
      <c r="G79" s="2">
        <f>'Fuente total'!P48</f>
        <v>615103.36926315771</v>
      </c>
      <c r="H79" s="11"/>
      <c r="J79" s="2">
        <f t="shared" si="4"/>
        <v>590019.8769204414</v>
      </c>
      <c r="K79" s="2">
        <f t="shared" si="5"/>
        <v>587232.82221569517</v>
      </c>
      <c r="L79" s="2"/>
      <c r="M79" s="2"/>
    </row>
    <row r="80" spans="1:13" x14ac:dyDescent="0.25">
      <c r="A80" s="4" t="s">
        <v>161</v>
      </c>
      <c r="B80" s="3" t="s">
        <v>241</v>
      </c>
      <c r="C80" s="9" t="s">
        <v>131</v>
      </c>
      <c r="D80" s="2">
        <f>'Fuente total'!M49</f>
        <v>370862.56666666659</v>
      </c>
      <c r="E80" s="2">
        <f>'Fuente total'!N49</f>
        <v>207895.27661538453</v>
      </c>
      <c r="F80" s="2">
        <f>'Fuente total'!O49</f>
        <v>195416.91206896555</v>
      </c>
      <c r="G80" s="2">
        <f>'Fuente total'!P49</f>
        <v>205179.02360869557</v>
      </c>
      <c r="H80" s="11"/>
      <c r="J80" s="2">
        <f t="shared" si="4"/>
        <v>231976.62674603157</v>
      </c>
      <c r="K80" s="2">
        <f t="shared" si="5"/>
        <v>234954.13820573557</v>
      </c>
      <c r="L80" s="2"/>
      <c r="M80" s="2"/>
    </row>
    <row r="81" spans="1:13" x14ac:dyDescent="0.25">
      <c r="A81" s="4" t="s">
        <v>161</v>
      </c>
      <c r="B81" s="3" t="s">
        <v>163</v>
      </c>
      <c r="C81" s="9" t="s">
        <v>131</v>
      </c>
      <c r="D81" s="2">
        <f>'Fuente total'!M50</f>
        <v>154242.75410248345</v>
      </c>
      <c r="E81" s="2">
        <f>'Fuente total'!N50</f>
        <v>74319.540521739124</v>
      </c>
      <c r="F81" s="2">
        <f>'Fuente total'!O50</f>
        <v>68918.301492537314</v>
      </c>
      <c r="G81" s="2">
        <f>'Fuente total'!P50</f>
        <v>74827.486113537117</v>
      </c>
      <c r="H81" s="11"/>
      <c r="J81" s="2">
        <f t="shared" si="4"/>
        <v>86903.497681463879</v>
      </c>
      <c r="K81" s="2">
        <f t="shared" si="5"/>
        <v>88245.276744566858</v>
      </c>
      <c r="L81" s="2"/>
      <c r="M81" s="2"/>
    </row>
    <row r="82" spans="1:13" x14ac:dyDescent="0.25">
      <c r="A82" s="4" t="s">
        <v>87</v>
      </c>
      <c r="B82" s="3" t="s">
        <v>243</v>
      </c>
      <c r="C82" s="7" t="s">
        <v>49</v>
      </c>
      <c r="D82">
        <f>'Fuente total'!B2</f>
        <v>2.5</v>
      </c>
      <c r="E82" s="4">
        <f>'Fuente total'!C2</f>
        <v>2.67</v>
      </c>
      <c r="F82" s="4">
        <f>'Fuente total'!D2</f>
        <v>2.68</v>
      </c>
      <c r="G82" s="4">
        <f>'Fuente total'!E2</f>
        <v>2.4300000000000002</v>
      </c>
      <c r="H82" s="10">
        <v>2.5790000000000002</v>
      </c>
      <c r="I82" s="10">
        <v>1.5389999999999999</v>
      </c>
      <c r="J82" s="6">
        <f t="shared" si="4"/>
        <v>2.5758000000000001</v>
      </c>
      <c r="K82" s="6">
        <f t="shared" si="5"/>
        <v>2.5920000000000001</v>
      </c>
      <c r="L82" s="6"/>
      <c r="M82" s="6"/>
    </row>
    <row r="83" spans="1:13" x14ac:dyDescent="0.25">
      <c r="A83" s="4" t="s">
        <v>87</v>
      </c>
      <c r="B83" s="3" t="s">
        <v>240</v>
      </c>
      <c r="C83" s="7" t="s">
        <v>49</v>
      </c>
      <c r="D83" s="4">
        <f>'Fuente total'!B3</f>
        <v>2.5</v>
      </c>
      <c r="E83" s="4">
        <f>'Fuente total'!C3</f>
        <v>2.67</v>
      </c>
      <c r="F83" s="4">
        <f>'Fuente total'!D3</f>
        <v>2.68</v>
      </c>
      <c r="G83" s="4">
        <f>'Fuente total'!E3</f>
        <v>2.4300000000000002</v>
      </c>
      <c r="H83" s="10">
        <v>2.5790000000000002</v>
      </c>
      <c r="I83" s="10">
        <v>1.5389999999999999</v>
      </c>
      <c r="J83" s="6">
        <f t="shared" si="4"/>
        <v>2.5758000000000001</v>
      </c>
      <c r="K83" s="6">
        <f t="shared" si="5"/>
        <v>2.5920000000000001</v>
      </c>
      <c r="L83" s="6"/>
      <c r="M83" s="6"/>
    </row>
    <row r="84" spans="1:13" x14ac:dyDescent="0.25">
      <c r="A84" s="4" t="s">
        <v>87</v>
      </c>
      <c r="B84" s="3" t="s">
        <v>242</v>
      </c>
      <c r="C84" s="7" t="s">
        <v>49</v>
      </c>
      <c r="D84" s="4">
        <f>'Fuente total'!B4</f>
        <v>2.5</v>
      </c>
      <c r="E84" s="4">
        <f>'Fuente total'!C4</f>
        <v>2.67</v>
      </c>
      <c r="F84" s="4">
        <f>'Fuente total'!D4</f>
        <v>2.68</v>
      </c>
      <c r="G84" s="4">
        <f>'Fuente total'!E4</f>
        <v>2.4300000000000002</v>
      </c>
      <c r="H84" s="10">
        <v>2.5790000000000002</v>
      </c>
      <c r="I84" s="10">
        <v>1.5389999999999999</v>
      </c>
      <c r="J84" s="6">
        <f t="shared" si="4"/>
        <v>2.5758000000000001</v>
      </c>
      <c r="K84" s="6">
        <f t="shared" si="5"/>
        <v>2.5920000000000001</v>
      </c>
      <c r="L84" s="6"/>
      <c r="M84" s="6"/>
    </row>
    <row r="85" spans="1:13" x14ac:dyDescent="0.25">
      <c r="A85" s="4" t="s">
        <v>87</v>
      </c>
      <c r="B85" s="3" t="s">
        <v>244</v>
      </c>
      <c r="C85" s="7" t="s">
        <v>49</v>
      </c>
      <c r="D85" s="4">
        <f>'Fuente total'!B5</f>
        <v>2.68</v>
      </c>
      <c r="E85" s="4">
        <f>'Fuente total'!C5</f>
        <v>3.67</v>
      </c>
      <c r="F85" s="4">
        <f>'Fuente total'!D5</f>
        <v>3.1</v>
      </c>
      <c r="G85" s="4">
        <f>'Fuente total'!E5</f>
        <v>3.07</v>
      </c>
      <c r="H85" s="10">
        <v>3.157</v>
      </c>
      <c r="I85" s="10">
        <v>1.8690000000000002</v>
      </c>
      <c r="J85" s="6">
        <f t="shared" si="4"/>
        <v>3.1186000000000003</v>
      </c>
      <c r="K85" s="6">
        <f t="shared" si="5"/>
        <v>3.1240000000000001</v>
      </c>
      <c r="L85" s="6"/>
      <c r="M85" s="6"/>
    </row>
    <row r="86" spans="1:13" x14ac:dyDescent="0.25">
      <c r="A86" s="4" t="s">
        <v>87</v>
      </c>
      <c r="B86" s="3" t="s">
        <v>245</v>
      </c>
      <c r="C86" s="7" t="s">
        <v>49</v>
      </c>
      <c r="D86" s="4">
        <f>'Fuente total'!B6</f>
        <v>2.98</v>
      </c>
      <c r="E86" s="4">
        <f>'Fuente total'!C6</f>
        <v>2.97</v>
      </c>
      <c r="F86" s="4">
        <f>'Fuente total'!D6</f>
        <v>2.9</v>
      </c>
      <c r="G86" s="4">
        <f>'Fuente total'!E6</f>
        <v>2.95</v>
      </c>
      <c r="H86" s="10">
        <v>2.9649999999999999</v>
      </c>
      <c r="I86" s="10">
        <v>1.7649999999999999</v>
      </c>
      <c r="J86" s="6">
        <f t="shared" si="4"/>
        <v>2.9409999999999994</v>
      </c>
      <c r="K86" s="6">
        <f t="shared" si="5"/>
        <v>2.9399999999999995</v>
      </c>
      <c r="L86" s="6"/>
      <c r="M86" s="6"/>
    </row>
    <row r="87" spans="1:13" x14ac:dyDescent="0.25">
      <c r="A87" s="4" t="s">
        <v>87</v>
      </c>
      <c r="B87" s="3" t="s">
        <v>164</v>
      </c>
      <c r="C87" s="7" t="s">
        <v>49</v>
      </c>
      <c r="D87" s="4">
        <f>'Fuente total'!B7</f>
        <v>1.98</v>
      </c>
      <c r="E87" s="4">
        <f>'Fuente total'!C7</f>
        <v>1.98</v>
      </c>
      <c r="F87" s="4">
        <f>'Fuente total'!D7</f>
        <v>2.12</v>
      </c>
      <c r="G87" s="4">
        <f>'Fuente total'!E7</f>
        <v>1.91</v>
      </c>
      <c r="H87" s="10">
        <v>1.9870000000000001</v>
      </c>
      <c r="I87" s="10">
        <v>1.202</v>
      </c>
      <c r="J87" s="6">
        <f t="shared" si="4"/>
        <v>2.0108000000000001</v>
      </c>
      <c r="K87" s="6">
        <f t="shared" si="5"/>
        <v>2.0220000000000002</v>
      </c>
      <c r="L87" s="6"/>
      <c r="M87" s="6"/>
    </row>
    <row r="88" spans="1:13" x14ac:dyDescent="0.25">
      <c r="A88" s="4" t="s">
        <v>87</v>
      </c>
      <c r="B88" s="3" t="s">
        <v>241</v>
      </c>
      <c r="C88" s="7" t="s">
        <v>49</v>
      </c>
      <c r="D88" s="4">
        <f>'Fuente total'!B8</f>
        <v>2.68</v>
      </c>
      <c r="E88" s="4">
        <f>'Fuente total'!C8</f>
        <v>3.67</v>
      </c>
      <c r="F88" s="4">
        <f>'Fuente total'!D8</f>
        <v>3.1</v>
      </c>
      <c r="G88" s="4">
        <f>'Fuente total'!E8</f>
        <v>3.07</v>
      </c>
      <c r="H88" s="10">
        <v>3.157</v>
      </c>
      <c r="I88" s="10">
        <v>1.8690000000000002</v>
      </c>
      <c r="J88" s="6">
        <f t="shared" si="4"/>
        <v>3.1186000000000003</v>
      </c>
      <c r="K88" s="6">
        <f t="shared" si="5"/>
        <v>3.1240000000000001</v>
      </c>
      <c r="L88" s="6"/>
      <c r="M88" s="6"/>
    </row>
    <row r="89" spans="1:13" x14ac:dyDescent="0.25">
      <c r="A89" s="4" t="s">
        <v>87</v>
      </c>
      <c r="B89" s="3" t="s">
        <v>163</v>
      </c>
      <c r="C89" s="7" t="s">
        <v>49</v>
      </c>
      <c r="D89" s="4">
        <f>'Fuente total'!B9</f>
        <v>1.98</v>
      </c>
      <c r="E89" s="4">
        <f>'Fuente total'!C9</f>
        <v>1.98</v>
      </c>
      <c r="F89" s="4">
        <f>'Fuente total'!D9</f>
        <v>2.12</v>
      </c>
      <c r="G89" s="4">
        <f>'Fuente total'!E9</f>
        <v>1.91</v>
      </c>
      <c r="H89" s="10">
        <v>1.9870000000000001</v>
      </c>
      <c r="I89" s="10">
        <v>1.202</v>
      </c>
      <c r="J89" s="6">
        <f t="shared" si="4"/>
        <v>2.0108000000000001</v>
      </c>
      <c r="K89" s="6">
        <f t="shared" si="5"/>
        <v>2.0220000000000002</v>
      </c>
      <c r="L89" s="6"/>
      <c r="M89" s="6"/>
    </row>
    <row r="90" spans="1:13" ht="30" x14ac:dyDescent="0.25">
      <c r="A90" s="4" t="s">
        <v>87</v>
      </c>
      <c r="B90" s="3" t="s">
        <v>243</v>
      </c>
      <c r="C90" s="7" t="s">
        <v>178</v>
      </c>
      <c r="D90" s="10">
        <f>'Fuente total'!E20</f>
        <v>17.13</v>
      </c>
      <c r="E90" s="10">
        <f>'Fuente total'!F20</f>
        <v>16.97</v>
      </c>
      <c r="F90" s="10">
        <f>'Fuente total'!G20</f>
        <v>17.149999999999999</v>
      </c>
      <c r="G90" s="10">
        <f>'Fuente total'!H20</f>
        <v>17.13</v>
      </c>
      <c r="H90" s="10">
        <v>17.068000000000001</v>
      </c>
      <c r="I90" s="10">
        <v>10.266</v>
      </c>
      <c r="J90" s="6">
        <f t="shared" si="4"/>
        <v>17.108400000000003</v>
      </c>
      <c r="K90" s="6">
        <f t="shared" si="5"/>
        <v>17.106000000000002</v>
      </c>
      <c r="L90" s="6"/>
      <c r="M90" s="6"/>
    </row>
    <row r="91" spans="1:13" ht="30" x14ac:dyDescent="0.25">
      <c r="A91" s="4" t="s">
        <v>87</v>
      </c>
      <c r="B91" s="3" t="s">
        <v>240</v>
      </c>
      <c r="C91" s="7" t="s">
        <v>178</v>
      </c>
      <c r="D91" s="10">
        <f>'Fuente total'!E21</f>
        <v>17.13</v>
      </c>
      <c r="E91" s="10">
        <f>'Fuente total'!F21</f>
        <v>17.12</v>
      </c>
      <c r="F91" s="10">
        <f>'Fuente total'!G21</f>
        <v>17.13</v>
      </c>
      <c r="G91" s="10">
        <f>'Fuente total'!H21</f>
        <v>17.149999999999999</v>
      </c>
      <c r="H91" s="10">
        <v>17.128</v>
      </c>
      <c r="I91" s="10">
        <v>10.281000000000001</v>
      </c>
      <c r="J91" s="6">
        <f t="shared" si="4"/>
        <v>17.133800000000001</v>
      </c>
      <c r="K91" s="6">
        <f t="shared" si="5"/>
        <v>17.132000000000001</v>
      </c>
      <c r="L91" s="6"/>
      <c r="M91" s="6"/>
    </row>
    <row r="92" spans="1:13" ht="30" x14ac:dyDescent="0.25">
      <c r="A92" s="4" t="s">
        <v>87</v>
      </c>
      <c r="B92" s="3" t="s">
        <v>242</v>
      </c>
      <c r="C92" s="7" t="s">
        <v>178</v>
      </c>
      <c r="D92" s="10">
        <f>'Fuente total'!E22</f>
        <v>17.12</v>
      </c>
      <c r="E92" s="10">
        <f>'Fuente total'!F22</f>
        <v>17.13</v>
      </c>
      <c r="F92" s="10">
        <f>'Fuente total'!G22</f>
        <v>17.149999999999999</v>
      </c>
      <c r="G92" s="10">
        <f>'Fuente total'!H22</f>
        <v>17.14</v>
      </c>
      <c r="H92" s="10">
        <v>17.129000000000001</v>
      </c>
      <c r="I92" s="10">
        <v>10.283000000000001</v>
      </c>
      <c r="J92" s="6">
        <f t="shared" si="4"/>
        <v>17.138200000000001</v>
      </c>
      <c r="K92" s="6">
        <f t="shared" si="5"/>
        <v>17.138000000000002</v>
      </c>
      <c r="L92" s="6"/>
      <c r="M92" s="6"/>
    </row>
    <row r="93" spans="1:13" ht="30" x14ac:dyDescent="0.25">
      <c r="A93" s="4" t="s">
        <v>87</v>
      </c>
      <c r="B93" s="3" t="s">
        <v>244</v>
      </c>
      <c r="C93" s="7" t="s">
        <v>178</v>
      </c>
      <c r="D93" s="10">
        <f>'Fuente total'!E23</f>
        <v>17.12</v>
      </c>
      <c r="E93" s="10">
        <f>'Fuente total'!F23</f>
        <v>16.990000000000002</v>
      </c>
      <c r="F93" s="10">
        <f>'Fuente total'!G23</f>
        <v>17.11</v>
      </c>
      <c r="G93" s="10">
        <f>'Fuente total'!H23</f>
        <v>17.13</v>
      </c>
      <c r="H93" s="10">
        <v>17.068000000000001</v>
      </c>
      <c r="I93" s="10">
        <v>10.259</v>
      </c>
      <c r="J93" s="6">
        <f t="shared" si="4"/>
        <v>17.095799999999997</v>
      </c>
      <c r="K93" s="6">
        <f t="shared" si="5"/>
        <v>17.091999999999999</v>
      </c>
      <c r="L93" s="6"/>
      <c r="M93" s="6"/>
    </row>
    <row r="94" spans="1:13" ht="30" x14ac:dyDescent="0.25">
      <c r="A94" s="4" t="s">
        <v>87</v>
      </c>
      <c r="B94" s="3" t="s">
        <v>245</v>
      </c>
      <c r="C94" s="7" t="s">
        <v>178</v>
      </c>
      <c r="D94" s="10">
        <f>'Fuente total'!E24</f>
        <v>17.12</v>
      </c>
      <c r="E94" s="10">
        <f>'Fuente total'!F24</f>
        <v>17.14</v>
      </c>
      <c r="F94" s="10">
        <f>'Fuente total'!G24</f>
        <v>17.13</v>
      </c>
      <c r="G94" s="10">
        <f>'Fuente total'!H24</f>
        <v>16.97</v>
      </c>
      <c r="H94" s="10">
        <v>17.114000000000001</v>
      </c>
      <c r="I94" s="10">
        <v>10.246</v>
      </c>
      <c r="J94" s="6">
        <f t="shared" si="4"/>
        <v>17.0852</v>
      </c>
      <c r="K94" s="6">
        <f t="shared" si="5"/>
        <v>17.097999999999999</v>
      </c>
      <c r="L94" s="6"/>
      <c r="M94" s="6"/>
    </row>
    <row r="95" spans="1:13" ht="30" x14ac:dyDescent="0.25">
      <c r="A95" s="4" t="s">
        <v>87</v>
      </c>
      <c r="B95" s="3" t="s">
        <v>164</v>
      </c>
      <c r="C95" s="7" t="s">
        <v>178</v>
      </c>
      <c r="D95" s="10">
        <f>'Fuente total'!E25</f>
        <v>17.13</v>
      </c>
      <c r="E95" s="10">
        <f>'Fuente total'!F25</f>
        <v>17.11</v>
      </c>
      <c r="F95" s="10">
        <f>'Fuente total'!G25</f>
        <v>17.149999999999999</v>
      </c>
      <c r="G95" s="10">
        <f>'Fuente total'!H25</f>
        <v>16.97</v>
      </c>
      <c r="H95" s="10">
        <v>17.108000000000001</v>
      </c>
      <c r="I95" s="10">
        <v>10.248000000000001</v>
      </c>
      <c r="J95" s="6">
        <f t="shared" si="4"/>
        <v>17.088799999999999</v>
      </c>
      <c r="K95" s="6">
        <f t="shared" si="5"/>
        <v>17.102</v>
      </c>
      <c r="L95" s="6"/>
      <c r="M95" s="6"/>
    </row>
    <row r="96" spans="1:13" ht="30" x14ac:dyDescent="0.25">
      <c r="A96" s="4" t="s">
        <v>87</v>
      </c>
      <c r="B96" s="3" t="s">
        <v>241</v>
      </c>
      <c r="C96" s="7" t="s">
        <v>178</v>
      </c>
      <c r="D96" s="10">
        <f>'Fuente total'!E26</f>
        <v>17.13</v>
      </c>
      <c r="E96" s="10">
        <f>'Fuente total'!F26</f>
        <v>17.100000000000001</v>
      </c>
      <c r="F96" s="10">
        <f>'Fuente total'!G26</f>
        <v>17.13</v>
      </c>
      <c r="G96" s="10">
        <f>'Fuente total'!H26</f>
        <v>17.14</v>
      </c>
      <c r="H96" s="10">
        <v>17.119</v>
      </c>
      <c r="I96" s="10">
        <v>10.277000000000001</v>
      </c>
      <c r="J96" s="6">
        <f t="shared" si="4"/>
        <v>17.127400000000002</v>
      </c>
      <c r="K96" s="6">
        <f t="shared" si="5"/>
        <v>17.126000000000001</v>
      </c>
      <c r="L96" s="6"/>
      <c r="M96" s="6"/>
    </row>
    <row r="97" spans="1:25" s="4" customFormat="1" ht="30" x14ac:dyDescent="0.25">
      <c r="A97" s="4" t="s">
        <v>87</v>
      </c>
      <c r="B97" s="3" t="s">
        <v>163</v>
      </c>
      <c r="C97" s="7" t="s">
        <v>178</v>
      </c>
      <c r="D97" s="10">
        <f>'Fuente total'!E27</f>
        <v>16.78</v>
      </c>
      <c r="E97" s="10">
        <f>'Fuente total'!F27</f>
        <v>16.86</v>
      </c>
      <c r="F97" s="10">
        <f>'Fuente total'!G27</f>
        <v>17.11</v>
      </c>
      <c r="G97" s="10">
        <f>'Fuente total'!H27</f>
        <v>17.13</v>
      </c>
      <c r="H97" s="10">
        <v>16.88</v>
      </c>
      <c r="I97" s="10">
        <v>10.212</v>
      </c>
      <c r="J97" s="6">
        <f t="shared" si="4"/>
        <v>17.011199999999999</v>
      </c>
      <c r="K97" s="6">
        <f t="shared" si="5"/>
        <v>16.997999999999998</v>
      </c>
      <c r="L97" s="6"/>
      <c r="M97" s="6"/>
      <c r="O97"/>
      <c r="P97"/>
      <c r="Q97"/>
      <c r="S97"/>
      <c r="T97"/>
      <c r="U97"/>
      <c r="W97"/>
      <c r="X97"/>
      <c r="Y97"/>
    </row>
    <row r="98" spans="1:25" s="4" customFormat="1" ht="30" x14ac:dyDescent="0.25">
      <c r="A98" s="4" t="s">
        <v>87</v>
      </c>
      <c r="B98" s="3" t="s">
        <v>243</v>
      </c>
      <c r="C98" s="7" t="s">
        <v>162</v>
      </c>
      <c r="D98" s="10">
        <f>'Fuente total'!A20</f>
        <v>7.13</v>
      </c>
      <c r="E98" s="10">
        <f>'Fuente total'!B20</f>
        <v>7.12</v>
      </c>
      <c r="F98" s="10">
        <f>'Fuente total'!C20</f>
        <v>7.12</v>
      </c>
      <c r="G98" s="10">
        <f>'Fuente total'!D20</f>
        <v>6.78</v>
      </c>
      <c r="H98" s="10">
        <v>7.0900000000000007</v>
      </c>
      <c r="I98" s="10">
        <v>4.2050000000000001</v>
      </c>
      <c r="J98" s="6">
        <f t="shared" ref="J98:J137" si="6">K98+$Q$2*(G98-K98)</f>
        <v>7.0266000000000002</v>
      </c>
      <c r="K98" s="6">
        <f t="shared" si="5"/>
        <v>7.0540000000000003</v>
      </c>
      <c r="L98" s="6"/>
      <c r="M98" s="6"/>
      <c r="O98"/>
      <c r="P98"/>
      <c r="Q98"/>
      <c r="S98"/>
      <c r="T98"/>
      <c r="U98"/>
      <c r="W98"/>
      <c r="X98"/>
      <c r="Y98"/>
    </row>
    <row r="99" spans="1:25" s="4" customFormat="1" ht="30" x14ac:dyDescent="0.25">
      <c r="A99" s="4" t="s">
        <v>87</v>
      </c>
      <c r="B99" s="3" t="s">
        <v>240</v>
      </c>
      <c r="C99" s="7" t="s">
        <v>162</v>
      </c>
      <c r="D99" s="10">
        <f>'Fuente total'!A21</f>
        <v>7.12</v>
      </c>
      <c r="E99" s="10">
        <f>'Fuente total'!B21</f>
        <v>7.13</v>
      </c>
      <c r="F99" s="10">
        <f>'Fuente total'!C21</f>
        <v>7.14</v>
      </c>
      <c r="G99" s="10">
        <f>'Fuente total'!D21</f>
        <v>6.86</v>
      </c>
      <c r="H99" s="10">
        <v>7.1000000000000014</v>
      </c>
      <c r="I99" s="10">
        <v>4.2250000000000005</v>
      </c>
      <c r="J99" s="6">
        <f t="shared" si="6"/>
        <v>7.0562000000000005</v>
      </c>
      <c r="K99" s="6">
        <f t="shared" si="5"/>
        <v>7.0780000000000003</v>
      </c>
      <c r="L99" s="6"/>
      <c r="M99" s="6"/>
      <c r="O99"/>
      <c r="P99"/>
      <c r="Q99"/>
      <c r="S99"/>
      <c r="T99"/>
      <c r="U99"/>
      <c r="W99"/>
      <c r="X99"/>
      <c r="Y99"/>
    </row>
    <row r="100" spans="1:25" s="4" customFormat="1" ht="30" x14ac:dyDescent="0.25">
      <c r="A100" s="4" t="s">
        <v>87</v>
      </c>
      <c r="B100" s="3" t="s">
        <v>242</v>
      </c>
      <c r="C100" s="7" t="s">
        <v>162</v>
      </c>
      <c r="D100" s="10">
        <f>'Fuente total'!A22</f>
        <v>7.13</v>
      </c>
      <c r="E100" s="10">
        <f>'Fuente total'!B22</f>
        <v>7.15</v>
      </c>
      <c r="F100" s="10">
        <f>'Fuente total'!C22</f>
        <v>7.13</v>
      </c>
      <c r="G100" s="10">
        <f>'Fuente total'!D22</f>
        <v>7.11</v>
      </c>
      <c r="H100" s="10">
        <v>7.136000000000001</v>
      </c>
      <c r="I100" s="10">
        <v>4.2759999999999998</v>
      </c>
      <c r="J100" s="6">
        <f t="shared" si="6"/>
        <v>7.128000000000001</v>
      </c>
      <c r="K100" s="6">
        <f t="shared" si="5"/>
        <v>7.1300000000000008</v>
      </c>
      <c r="L100" s="6"/>
      <c r="M100" s="6"/>
      <c r="O100"/>
      <c r="P100"/>
      <c r="Q100"/>
      <c r="S100"/>
      <c r="T100"/>
      <c r="U100"/>
      <c r="W100"/>
      <c r="X100"/>
      <c r="Y100"/>
    </row>
    <row r="101" spans="1:25" s="4" customFormat="1" ht="30" x14ac:dyDescent="0.25">
      <c r="A101" s="4" t="s">
        <v>87</v>
      </c>
      <c r="B101" s="3" t="s">
        <v>244</v>
      </c>
      <c r="C101" s="7" t="s">
        <v>162</v>
      </c>
      <c r="D101" s="10">
        <f>'Fuente total'!A23</f>
        <v>7.15</v>
      </c>
      <c r="E101" s="10">
        <f>'Fuente total'!B23</f>
        <v>7.14</v>
      </c>
      <c r="F101" s="10">
        <f>'Fuente total'!C23</f>
        <v>6.97</v>
      </c>
      <c r="G101" s="10">
        <f>'Fuente total'!D23</f>
        <v>7.13</v>
      </c>
      <c r="H101" s="10">
        <v>7.1260000000000003</v>
      </c>
      <c r="I101" s="10">
        <v>4.2490000000000006</v>
      </c>
      <c r="J101" s="6">
        <f t="shared" si="6"/>
        <v>7.0778000000000008</v>
      </c>
      <c r="K101" s="6">
        <f t="shared" si="5"/>
        <v>7.072000000000001</v>
      </c>
      <c r="L101" s="6"/>
      <c r="M101" s="6"/>
      <c r="O101"/>
      <c r="P101"/>
      <c r="Q101"/>
      <c r="S101"/>
      <c r="T101"/>
      <c r="U101"/>
      <c r="W101"/>
      <c r="X101"/>
      <c r="Y101"/>
    </row>
    <row r="102" spans="1:25" s="4" customFormat="1" ht="30" x14ac:dyDescent="0.25">
      <c r="A102" s="4" t="s">
        <v>87</v>
      </c>
      <c r="B102" s="3" t="s">
        <v>245</v>
      </c>
      <c r="C102" s="7" t="s">
        <v>162</v>
      </c>
      <c r="D102" s="10">
        <f>'Fuente total'!A24</f>
        <v>7.13</v>
      </c>
      <c r="E102" s="10">
        <f>'Fuente total'!B24</f>
        <v>7.12</v>
      </c>
      <c r="F102" s="10">
        <f>'Fuente total'!C24</f>
        <v>7.13</v>
      </c>
      <c r="G102" s="10">
        <f>'Fuente total'!D24</f>
        <v>7.13</v>
      </c>
      <c r="H102" s="10">
        <v>7.1260000000000012</v>
      </c>
      <c r="I102" s="10">
        <v>4.277000000000001</v>
      </c>
      <c r="J102" s="6">
        <f t="shared" si="6"/>
        <v>7.1282000000000005</v>
      </c>
      <c r="K102" s="6">
        <f t="shared" si="5"/>
        <v>7.128000000000001</v>
      </c>
      <c r="L102" s="6"/>
      <c r="M102" s="6"/>
      <c r="O102"/>
      <c r="P102"/>
      <c r="Q102"/>
      <c r="S102"/>
      <c r="T102"/>
      <c r="U102"/>
      <c r="W102"/>
      <c r="X102"/>
      <c r="Y102"/>
    </row>
    <row r="103" spans="1:25" s="4" customFormat="1" ht="30" x14ac:dyDescent="0.25">
      <c r="A103" s="4" t="s">
        <v>87</v>
      </c>
      <c r="B103" s="3" t="s">
        <v>164</v>
      </c>
      <c r="C103" s="7" t="s">
        <v>162</v>
      </c>
      <c r="D103" s="10">
        <f>'Fuente total'!A25</f>
        <v>6.97</v>
      </c>
      <c r="E103" s="10">
        <f>'Fuente total'!B25</f>
        <v>6.99</v>
      </c>
      <c r="F103" s="10">
        <f>'Fuente total'!C25</f>
        <v>7.1</v>
      </c>
      <c r="G103" s="10">
        <f>'Fuente total'!D25</f>
        <v>7.11</v>
      </c>
      <c r="H103" s="10">
        <v>7.0050000000000008</v>
      </c>
      <c r="I103" s="10">
        <v>4.2379999999999995</v>
      </c>
      <c r="J103" s="6">
        <f t="shared" si="6"/>
        <v>7.0596000000000005</v>
      </c>
      <c r="K103" s="6">
        <f t="shared" si="5"/>
        <v>7.0540000000000003</v>
      </c>
      <c r="L103" s="6"/>
      <c r="M103" s="6"/>
      <c r="O103"/>
      <c r="P103"/>
      <c r="Q103"/>
      <c r="S103"/>
      <c r="T103"/>
      <c r="U103"/>
      <c r="W103"/>
      <c r="X103"/>
      <c r="Y103"/>
    </row>
    <row r="104" spans="1:25" s="4" customFormat="1" ht="30" x14ac:dyDescent="0.25">
      <c r="A104" s="4" t="s">
        <v>87</v>
      </c>
      <c r="B104" s="3" t="s">
        <v>241</v>
      </c>
      <c r="C104" s="7" t="s">
        <v>162</v>
      </c>
      <c r="D104" s="10">
        <f>'Fuente total'!A26</f>
        <v>7.15</v>
      </c>
      <c r="E104" s="10">
        <f>'Fuente total'!B26</f>
        <v>7.11</v>
      </c>
      <c r="F104" s="10">
        <f>'Fuente total'!C26</f>
        <v>7.13</v>
      </c>
      <c r="G104" s="10">
        <f>'Fuente total'!D26</f>
        <v>7.15</v>
      </c>
      <c r="H104" s="10">
        <v>7.1320000000000006</v>
      </c>
      <c r="I104" s="10">
        <v>4.282</v>
      </c>
      <c r="J104" s="6">
        <f t="shared" si="6"/>
        <v>7.1356000000000002</v>
      </c>
      <c r="K104" s="6">
        <f t="shared" si="5"/>
        <v>7.1340000000000003</v>
      </c>
      <c r="L104" s="6"/>
      <c r="M104" s="6"/>
      <c r="O104"/>
      <c r="P104"/>
      <c r="Q104"/>
      <c r="S104"/>
      <c r="T104"/>
      <c r="U104"/>
      <c r="W104"/>
      <c r="X104"/>
      <c r="Y104"/>
    </row>
    <row r="105" spans="1:25" ht="30" x14ac:dyDescent="0.25">
      <c r="A105" s="4" t="s">
        <v>87</v>
      </c>
      <c r="B105" s="3" t="s">
        <v>163</v>
      </c>
      <c r="C105" s="7" t="s">
        <v>162</v>
      </c>
      <c r="D105" s="10">
        <f>'Fuente total'!A27</f>
        <v>7.13</v>
      </c>
      <c r="E105" s="10">
        <f>'Fuente total'!B27</f>
        <v>7.13</v>
      </c>
      <c r="F105" s="10">
        <f>'Fuente total'!C27</f>
        <v>7.14</v>
      </c>
      <c r="G105" s="10">
        <f>'Fuente total'!D27</f>
        <v>6.97</v>
      </c>
      <c r="H105" s="10">
        <v>7.1150000000000011</v>
      </c>
      <c r="I105" s="10">
        <v>4.2480000000000002</v>
      </c>
      <c r="J105" s="6">
        <f t="shared" si="6"/>
        <v>7.0888</v>
      </c>
      <c r="K105" s="6">
        <f t="shared" si="5"/>
        <v>7.1020000000000003</v>
      </c>
      <c r="L105" s="6"/>
      <c r="M105" s="6"/>
    </row>
    <row r="106" spans="1:25" x14ac:dyDescent="0.25">
      <c r="A106" s="4" t="s">
        <v>87</v>
      </c>
      <c r="B106" s="3" t="s">
        <v>243</v>
      </c>
      <c r="C106" s="9" t="s">
        <v>183</v>
      </c>
      <c r="D106" s="10">
        <f>'Fuente total'!L11</f>
        <v>1.5</v>
      </c>
      <c r="E106" s="10">
        <f>'Fuente total'!M11</f>
        <v>1.67</v>
      </c>
      <c r="F106" s="10">
        <f>'Fuente total'!N11</f>
        <v>1.6800000000000002</v>
      </c>
      <c r="G106" s="10">
        <f>'Fuente total'!O11</f>
        <v>1.4300000000000002</v>
      </c>
      <c r="H106" s="10">
        <v>1.573</v>
      </c>
      <c r="I106" s="10">
        <v>0.93900000000000017</v>
      </c>
      <c r="J106" s="10">
        <f t="shared" ref="J106:J113" si="7">K106+$Q$2*(G106-K106)</f>
        <v>1.5758000000000003</v>
      </c>
      <c r="K106" s="10">
        <f t="shared" ref="K106:K113" si="8">(D106*0.2)+(E106*0.2)+(F106*0.4)+(G106*0.2)</f>
        <v>1.5920000000000003</v>
      </c>
      <c r="L106" s="47"/>
      <c r="M106" s="47"/>
    </row>
    <row r="107" spans="1:25" x14ac:dyDescent="0.25">
      <c r="A107" s="4" t="s">
        <v>87</v>
      </c>
      <c r="B107" s="3" t="s">
        <v>240</v>
      </c>
      <c r="C107" s="9" t="s">
        <v>183</v>
      </c>
      <c r="D107" s="10">
        <f>'Fuente total'!L12</f>
        <v>1.5</v>
      </c>
      <c r="E107" s="10">
        <f>'Fuente total'!M12</f>
        <v>1.67</v>
      </c>
      <c r="F107" s="10">
        <f>'Fuente total'!N12</f>
        <v>1.6800000000000002</v>
      </c>
      <c r="G107" s="10">
        <f>'Fuente total'!O12</f>
        <v>1.4300000000000002</v>
      </c>
      <c r="H107" s="10">
        <v>1.573</v>
      </c>
      <c r="I107" s="10">
        <v>0.93900000000000017</v>
      </c>
      <c r="J107" s="10">
        <f t="shared" si="7"/>
        <v>1.5758000000000003</v>
      </c>
      <c r="K107" s="10">
        <f t="shared" si="8"/>
        <v>1.5920000000000003</v>
      </c>
      <c r="L107" s="47"/>
      <c r="M107" s="47"/>
    </row>
    <row r="108" spans="1:25" x14ac:dyDescent="0.25">
      <c r="A108" s="4" t="s">
        <v>87</v>
      </c>
      <c r="B108" s="3" t="s">
        <v>242</v>
      </c>
      <c r="C108" s="9" t="s">
        <v>183</v>
      </c>
      <c r="D108" s="10">
        <f>'Fuente total'!L13</f>
        <v>1.5</v>
      </c>
      <c r="E108" s="10">
        <f>'Fuente total'!M13</f>
        <v>1.67</v>
      </c>
      <c r="F108" s="10">
        <f>'Fuente total'!N13</f>
        <v>1.6800000000000002</v>
      </c>
      <c r="G108" s="10">
        <f>'Fuente total'!O13</f>
        <v>1.4300000000000002</v>
      </c>
      <c r="H108" s="10">
        <v>1.573</v>
      </c>
      <c r="I108" s="10">
        <v>0.93900000000000017</v>
      </c>
      <c r="J108" s="10">
        <f t="shared" si="7"/>
        <v>1.5758000000000003</v>
      </c>
      <c r="K108" s="10">
        <f t="shared" si="8"/>
        <v>1.5920000000000003</v>
      </c>
      <c r="L108" s="47"/>
      <c r="M108" s="47"/>
    </row>
    <row r="109" spans="1:25" x14ac:dyDescent="0.25">
      <c r="A109" s="4" t="s">
        <v>87</v>
      </c>
      <c r="B109" s="3" t="s">
        <v>244</v>
      </c>
      <c r="C109" s="9" t="s">
        <v>183</v>
      </c>
      <c r="D109" s="10">
        <f>'Fuente total'!L14</f>
        <v>1.6800000000000002</v>
      </c>
      <c r="E109" s="10">
        <f>'Fuente total'!M14</f>
        <v>2.67</v>
      </c>
      <c r="F109" s="10">
        <f>'Fuente total'!N14</f>
        <v>2.1</v>
      </c>
      <c r="G109" s="10">
        <f>'Fuente total'!O14</f>
        <v>2.0699999999999998</v>
      </c>
      <c r="H109" s="10">
        <v>2.1390000000000002</v>
      </c>
      <c r="I109" s="10">
        <v>1.2690000000000001</v>
      </c>
      <c r="J109" s="10">
        <f t="shared" si="7"/>
        <v>2.1186000000000003</v>
      </c>
      <c r="K109" s="10">
        <f t="shared" si="8"/>
        <v>2.1240000000000001</v>
      </c>
      <c r="L109" s="47"/>
      <c r="M109" s="47"/>
    </row>
    <row r="110" spans="1:25" x14ac:dyDescent="0.25">
      <c r="A110" s="4" t="s">
        <v>87</v>
      </c>
      <c r="B110" s="3" t="s">
        <v>245</v>
      </c>
      <c r="C110" s="9" t="s">
        <v>183</v>
      </c>
      <c r="D110" s="10">
        <f>'Fuente total'!L15</f>
        <v>1.98</v>
      </c>
      <c r="E110" s="10">
        <f>'Fuente total'!M15</f>
        <v>1.9700000000000002</v>
      </c>
      <c r="F110" s="10">
        <f>'Fuente total'!N15</f>
        <v>1.9</v>
      </c>
      <c r="G110" s="10">
        <f>'Fuente total'!O15</f>
        <v>1.9500000000000002</v>
      </c>
      <c r="H110" s="10">
        <v>1.9550000000000001</v>
      </c>
      <c r="I110" s="10">
        <v>1.165</v>
      </c>
      <c r="J110" s="10">
        <f t="shared" si="7"/>
        <v>1.9410000000000003</v>
      </c>
      <c r="K110" s="10">
        <f t="shared" si="8"/>
        <v>1.9400000000000002</v>
      </c>
      <c r="L110" s="47"/>
      <c r="M110" s="47"/>
    </row>
    <row r="111" spans="1:25" x14ac:dyDescent="0.25">
      <c r="A111" s="4" t="s">
        <v>87</v>
      </c>
      <c r="B111" s="3" t="s">
        <v>164</v>
      </c>
      <c r="C111" s="9" t="s">
        <v>183</v>
      </c>
      <c r="D111" s="10">
        <f>'Fuente total'!L16</f>
        <v>0.98</v>
      </c>
      <c r="E111" s="10">
        <f>'Fuente total'!M16</f>
        <v>0.98</v>
      </c>
      <c r="F111" s="10">
        <f>'Fuente total'!N16</f>
        <v>1.1200000000000001</v>
      </c>
      <c r="G111" s="10">
        <f>'Fuente total'!O16</f>
        <v>0.90999999999999992</v>
      </c>
      <c r="H111" s="10">
        <v>0.99399999999999999</v>
      </c>
      <c r="I111" s="10">
        <v>0.60200000000000009</v>
      </c>
      <c r="J111" s="10">
        <f t="shared" si="7"/>
        <v>1.0107999999999999</v>
      </c>
      <c r="K111" s="10">
        <f t="shared" si="8"/>
        <v>1.022</v>
      </c>
      <c r="L111" s="47"/>
      <c r="M111" s="47"/>
    </row>
    <row r="112" spans="1:25" x14ac:dyDescent="0.25">
      <c r="A112" s="4" t="s">
        <v>87</v>
      </c>
      <c r="B112" s="3" t="s">
        <v>241</v>
      </c>
      <c r="C112" s="9" t="s">
        <v>183</v>
      </c>
      <c r="D112" s="10">
        <f>'Fuente total'!L17</f>
        <v>1.6800000000000002</v>
      </c>
      <c r="E112" s="10">
        <f>'Fuente total'!M17</f>
        <v>2.67</v>
      </c>
      <c r="F112" s="10">
        <f>'Fuente total'!N17</f>
        <v>2.1</v>
      </c>
      <c r="G112" s="10">
        <f>'Fuente total'!O17</f>
        <v>2.0699999999999998</v>
      </c>
      <c r="H112" s="10">
        <v>2.1390000000000002</v>
      </c>
      <c r="I112" s="10">
        <v>1.2690000000000001</v>
      </c>
      <c r="J112" s="10">
        <f t="shared" si="7"/>
        <v>2.1186000000000003</v>
      </c>
      <c r="K112" s="10">
        <f t="shared" si="8"/>
        <v>2.1240000000000001</v>
      </c>
      <c r="L112" s="47"/>
      <c r="M112" s="47"/>
    </row>
    <row r="113" spans="1:24" x14ac:dyDescent="0.25">
      <c r="A113" s="4" t="s">
        <v>87</v>
      </c>
      <c r="B113" s="3" t="s">
        <v>163</v>
      </c>
      <c r="C113" s="9" t="s">
        <v>183</v>
      </c>
      <c r="D113" s="10">
        <f>'Fuente total'!L18</f>
        <v>0.98</v>
      </c>
      <c r="E113" s="10">
        <f>'Fuente total'!M18</f>
        <v>0.98</v>
      </c>
      <c r="F113" s="10">
        <f>'Fuente total'!N18</f>
        <v>1.1200000000000001</v>
      </c>
      <c r="G113" s="10">
        <f>'Fuente total'!O18</f>
        <v>0.90999999999999992</v>
      </c>
      <c r="H113" s="10">
        <v>0.99399999999999999</v>
      </c>
      <c r="I113" s="10">
        <v>0.60200000000000009</v>
      </c>
      <c r="J113" s="10">
        <f t="shared" si="7"/>
        <v>1.0107999999999999</v>
      </c>
      <c r="K113" s="10">
        <f t="shared" si="8"/>
        <v>1.022</v>
      </c>
      <c r="L113" s="47"/>
      <c r="M113" s="47"/>
    </row>
    <row r="114" spans="1:24" ht="30" x14ac:dyDescent="0.25">
      <c r="A114" s="4" t="s">
        <v>88</v>
      </c>
      <c r="B114" s="3" t="s">
        <v>243</v>
      </c>
      <c r="C114" s="7" t="s">
        <v>66</v>
      </c>
      <c r="D114" s="29">
        <f>100%-'Fuente total'!F32</f>
        <v>0.98</v>
      </c>
      <c r="E114" s="29">
        <f>100%-'Fuente total'!G32</f>
        <v>0.97899999999999998</v>
      </c>
      <c r="F114" s="29">
        <f>100%-'Fuente total'!H32</f>
        <v>0.97899999999999998</v>
      </c>
      <c r="G114" s="29">
        <f>100%-'Fuente total'!I32</f>
        <v>0.98029999999999995</v>
      </c>
      <c r="H114" s="29">
        <v>0.97953000000000001</v>
      </c>
      <c r="I114" s="47">
        <v>1</v>
      </c>
      <c r="J114" s="47">
        <f t="shared" si="6"/>
        <v>0.97954400000000008</v>
      </c>
      <c r="K114" s="47">
        <f t="shared" si="5"/>
        <v>0.97946000000000011</v>
      </c>
      <c r="L114" s="47"/>
      <c r="M114" s="47"/>
      <c r="O114" s="58"/>
      <c r="P114" s="58"/>
      <c r="Q114" s="58"/>
      <c r="R114" s="58"/>
      <c r="S114" s="58"/>
      <c r="T114" s="58"/>
      <c r="U114" s="58"/>
      <c r="V114" s="58"/>
      <c r="W114" s="58"/>
      <c r="X114" s="58"/>
    </row>
    <row r="115" spans="1:24" ht="30" x14ac:dyDescent="0.25">
      <c r="A115" s="4" t="s">
        <v>88</v>
      </c>
      <c r="B115" s="3" t="s">
        <v>240</v>
      </c>
      <c r="C115" s="7" t="s">
        <v>66</v>
      </c>
      <c r="D115" s="29">
        <f>100%-'Fuente total'!F33</f>
        <v>0.97950000000000004</v>
      </c>
      <c r="E115" s="29">
        <f>100%-'Fuente total'!G33</f>
        <v>0.97989999999999999</v>
      </c>
      <c r="F115" s="29">
        <f>100%-'Fuente total'!H33</f>
        <v>0.97909999999999997</v>
      </c>
      <c r="G115" s="29">
        <f>100%-'Fuente total'!I33</f>
        <v>0.9788</v>
      </c>
      <c r="H115" s="29">
        <v>0.97954999999999992</v>
      </c>
      <c r="I115" s="47">
        <v>1</v>
      </c>
      <c r="J115" s="47">
        <f t="shared" si="6"/>
        <v>0.97923199999999999</v>
      </c>
      <c r="K115" s="47">
        <f t="shared" ref="K115:K146" si="9">(D115*0.2)+(E115*0.2)+(F115*0.4)+(G115*0.2)</f>
        <v>0.97928000000000004</v>
      </c>
      <c r="L115" s="47"/>
      <c r="M115" s="47"/>
      <c r="O115" s="3"/>
      <c r="P115" s="62"/>
      <c r="Q115" s="62"/>
      <c r="R115" s="62"/>
      <c r="S115" s="62"/>
      <c r="T115" s="62"/>
      <c r="U115" s="62"/>
      <c r="V115" s="62"/>
      <c r="W115" s="62"/>
    </row>
    <row r="116" spans="1:24" ht="30" x14ac:dyDescent="0.25">
      <c r="A116" s="4" t="s">
        <v>88</v>
      </c>
      <c r="B116" s="3" t="s">
        <v>242</v>
      </c>
      <c r="C116" s="7" t="s">
        <v>66</v>
      </c>
      <c r="D116" s="29">
        <f>100%-'Fuente total'!F34</f>
        <v>0.97899999999999998</v>
      </c>
      <c r="E116" s="29">
        <f>100%-'Fuente total'!G34</f>
        <v>0.98080000000000001</v>
      </c>
      <c r="F116" s="29">
        <f>100%-'Fuente total'!H34</f>
        <v>0.97940000000000005</v>
      </c>
      <c r="G116" s="29">
        <f>100%-'Fuente total'!I34</f>
        <v>0.97970000000000002</v>
      </c>
      <c r="H116" s="29">
        <v>0.97982999999999998</v>
      </c>
      <c r="I116" s="47">
        <v>1</v>
      </c>
      <c r="J116" s="47">
        <f t="shared" si="6"/>
        <v>0.97966399999999998</v>
      </c>
      <c r="K116" s="47">
        <f t="shared" si="9"/>
        <v>0.97965999999999998</v>
      </c>
      <c r="L116" s="47"/>
      <c r="M116" s="47"/>
      <c r="O116" s="3"/>
      <c r="P116" s="62"/>
      <c r="Q116" s="62"/>
      <c r="R116" s="62"/>
      <c r="S116" s="62"/>
      <c r="T116" s="62"/>
      <c r="U116" s="62"/>
      <c r="V116" s="62"/>
      <c r="W116" s="62"/>
    </row>
    <row r="117" spans="1:24" ht="30" x14ac:dyDescent="0.25">
      <c r="A117" s="4" t="s">
        <v>88</v>
      </c>
      <c r="B117" s="3" t="s">
        <v>244</v>
      </c>
      <c r="C117" s="7" t="s">
        <v>66</v>
      </c>
      <c r="D117" s="29">
        <f>100%-'Fuente total'!F35</f>
        <v>0.97919999999999996</v>
      </c>
      <c r="E117" s="29">
        <f>100%-'Fuente total'!G35</f>
        <v>0.98019999999999996</v>
      </c>
      <c r="F117" s="29">
        <f>100%-'Fuente total'!H35</f>
        <v>0.9795666666666667</v>
      </c>
      <c r="G117" s="29">
        <f>100%-'Fuente total'!I35</f>
        <v>0.97899999999999998</v>
      </c>
      <c r="H117" s="29">
        <v>0.97961666666666669</v>
      </c>
      <c r="I117" s="47">
        <v>1</v>
      </c>
      <c r="J117" s="47">
        <f t="shared" si="6"/>
        <v>0.9794560000000001</v>
      </c>
      <c r="K117" s="47">
        <f t="shared" si="9"/>
        <v>0.97950666666666675</v>
      </c>
      <c r="L117" s="47"/>
      <c r="M117" s="47"/>
      <c r="O117" s="3"/>
      <c r="P117" s="62"/>
      <c r="Q117" s="62"/>
      <c r="R117" s="62"/>
      <c r="S117" s="62"/>
      <c r="T117" s="62"/>
      <c r="U117" s="62"/>
      <c r="V117" s="62"/>
      <c r="W117" s="62"/>
    </row>
    <row r="118" spans="1:24" ht="30" x14ac:dyDescent="0.25">
      <c r="A118" s="4" t="s">
        <v>88</v>
      </c>
      <c r="B118" s="3" t="s">
        <v>245</v>
      </c>
      <c r="C118" s="7" t="s">
        <v>66</v>
      </c>
      <c r="D118" s="29">
        <f>100%-'Fuente total'!F36</f>
        <v>0.96940000000000004</v>
      </c>
      <c r="E118" s="29">
        <f>100%-'Fuente total'!G36</f>
        <v>0.9798</v>
      </c>
      <c r="F118" s="29">
        <f>100%-'Fuente total'!H36</f>
        <v>0.97976666666666667</v>
      </c>
      <c r="G118" s="29">
        <f>100%-'Fuente total'!I36</f>
        <v>0.97929999999999995</v>
      </c>
      <c r="H118" s="29">
        <v>0.97558666666666682</v>
      </c>
      <c r="I118" s="47">
        <v>1</v>
      </c>
      <c r="J118" s="47">
        <f t="shared" si="6"/>
        <v>0.9777760000000002</v>
      </c>
      <c r="K118" s="47">
        <f t="shared" si="9"/>
        <v>0.97760666666666685</v>
      </c>
      <c r="L118" s="47"/>
      <c r="M118" s="47"/>
      <c r="O118" s="3"/>
      <c r="P118" s="62"/>
      <c r="Q118" s="62"/>
      <c r="R118" s="62"/>
      <c r="S118" s="62"/>
      <c r="T118" s="62"/>
      <c r="U118" s="62"/>
      <c r="V118" s="62"/>
      <c r="W118" s="62"/>
    </row>
    <row r="119" spans="1:24" ht="30" x14ac:dyDescent="0.25">
      <c r="A119" s="4" t="s">
        <v>88</v>
      </c>
      <c r="B119" s="3" t="s">
        <v>164</v>
      </c>
      <c r="C119" s="7" t="s">
        <v>66</v>
      </c>
      <c r="D119" s="29">
        <f>100%-'Fuente total'!F37</f>
        <v>0.98</v>
      </c>
      <c r="E119" s="29">
        <f>100%-'Fuente total'!G37</f>
        <v>0.98019999999999996</v>
      </c>
      <c r="F119" s="29">
        <f>100%-'Fuente total'!H37</f>
        <v>0.98040000000000005</v>
      </c>
      <c r="G119" s="29">
        <f>100%-'Fuente total'!I37</f>
        <v>0.97960000000000003</v>
      </c>
      <c r="H119" s="29">
        <v>0.98008000000000006</v>
      </c>
      <c r="I119" s="47">
        <v>1</v>
      </c>
      <c r="J119" s="47">
        <f t="shared" si="6"/>
        <v>0.98006799999999994</v>
      </c>
      <c r="K119" s="47">
        <f t="shared" si="9"/>
        <v>0.98011999999999999</v>
      </c>
      <c r="L119" s="47"/>
      <c r="M119" s="47"/>
      <c r="O119" s="3"/>
      <c r="P119" s="62"/>
      <c r="Q119" s="62"/>
      <c r="R119" s="62"/>
      <c r="S119" s="62"/>
      <c r="T119" s="62"/>
      <c r="U119" s="62"/>
      <c r="V119" s="62"/>
      <c r="W119" s="62"/>
    </row>
    <row r="120" spans="1:24" ht="30" x14ac:dyDescent="0.25">
      <c r="A120" s="4" t="s">
        <v>88</v>
      </c>
      <c r="B120" s="3" t="s">
        <v>241</v>
      </c>
      <c r="C120" s="7" t="s">
        <v>66</v>
      </c>
      <c r="D120" s="29">
        <f>100%-'Fuente total'!F38</f>
        <v>0.97140000000000004</v>
      </c>
      <c r="E120" s="29">
        <f>100%-'Fuente total'!G38</f>
        <v>0.98049333333333333</v>
      </c>
      <c r="F120" s="29">
        <f>100%-'Fuente total'!H38</f>
        <v>0.97889999999999999</v>
      </c>
      <c r="G120" s="29">
        <f>100%-'Fuente total'!I38</f>
        <v>0.97918000000000005</v>
      </c>
      <c r="H120" s="29">
        <v>0.97656533333333329</v>
      </c>
      <c r="I120" s="47">
        <v>1</v>
      </c>
      <c r="J120" s="47">
        <f t="shared" si="6"/>
        <v>0.97791519999999998</v>
      </c>
      <c r="K120" s="47">
        <f t="shared" si="9"/>
        <v>0.97777466666666668</v>
      </c>
      <c r="L120" s="47"/>
      <c r="M120" s="47"/>
      <c r="O120" s="3"/>
      <c r="P120" s="62"/>
      <c r="Q120" s="62"/>
      <c r="R120" s="62"/>
      <c r="S120" s="62"/>
      <c r="T120" s="62"/>
      <c r="U120" s="62"/>
      <c r="V120" s="62"/>
      <c r="W120" s="62"/>
    </row>
    <row r="121" spans="1:24" ht="30" x14ac:dyDescent="0.25">
      <c r="A121" s="4" t="s">
        <v>88</v>
      </c>
      <c r="B121" s="3" t="s">
        <v>163</v>
      </c>
      <c r="C121" s="7" t="s">
        <v>66</v>
      </c>
      <c r="D121" s="29">
        <f>100%-'Fuente total'!F39</f>
        <v>0.9798</v>
      </c>
      <c r="E121" s="29">
        <f>100%-'Fuente total'!G39</f>
        <v>0.98009999999999997</v>
      </c>
      <c r="F121" s="29">
        <f>100%-'Fuente total'!H39</f>
        <v>0.98019999999999996</v>
      </c>
      <c r="G121" s="29">
        <f>100%-'Fuente total'!I39</f>
        <v>0.97899999999999998</v>
      </c>
      <c r="H121" s="29">
        <v>0.97987999999999997</v>
      </c>
      <c r="I121" s="47">
        <v>1</v>
      </c>
      <c r="J121" s="47">
        <f t="shared" si="6"/>
        <v>0.97977399999999992</v>
      </c>
      <c r="K121" s="47">
        <f t="shared" si="9"/>
        <v>0.97985999999999995</v>
      </c>
      <c r="L121" s="47"/>
      <c r="M121" s="47"/>
      <c r="O121" s="3"/>
      <c r="P121" s="62"/>
      <c r="Q121" s="62"/>
      <c r="R121" s="62"/>
      <c r="S121" s="62"/>
      <c r="T121" s="62"/>
      <c r="U121" s="62"/>
      <c r="V121" s="62"/>
      <c r="W121" s="62"/>
    </row>
    <row r="122" spans="1:24" x14ac:dyDescent="0.25">
      <c r="A122" s="4" t="s">
        <v>88</v>
      </c>
      <c r="B122" s="3" t="s">
        <v>243</v>
      </c>
      <c r="C122" s="7" t="s">
        <v>165</v>
      </c>
      <c r="D122" s="27">
        <f>'Fuente total'!J32</f>
        <v>0.97</v>
      </c>
      <c r="E122" s="27">
        <f>'Fuente total'!K32</f>
        <v>0.98</v>
      </c>
      <c r="F122" s="27">
        <f>'Fuente total'!L32</f>
        <v>0.99</v>
      </c>
      <c r="G122" s="27">
        <f>'Fuente total'!M32</f>
        <v>0.97</v>
      </c>
      <c r="H122" s="29">
        <v>0.97599999999999998</v>
      </c>
      <c r="I122" s="47">
        <v>1</v>
      </c>
      <c r="J122" s="47">
        <f t="shared" si="6"/>
        <v>0.97899999999999998</v>
      </c>
      <c r="K122" s="47">
        <f t="shared" si="9"/>
        <v>0.98</v>
      </c>
      <c r="L122" s="47"/>
      <c r="M122" s="47"/>
      <c r="O122" s="3"/>
      <c r="P122" s="62"/>
      <c r="Q122" s="62"/>
      <c r="R122" s="62"/>
      <c r="S122" s="62"/>
      <c r="T122" s="62"/>
      <c r="U122" s="62"/>
      <c r="V122" s="62"/>
      <c r="W122" s="62"/>
    </row>
    <row r="123" spans="1:24" x14ac:dyDescent="0.25">
      <c r="A123" s="4" t="s">
        <v>88</v>
      </c>
      <c r="B123" s="3" t="s">
        <v>240</v>
      </c>
      <c r="C123" s="7" t="s">
        <v>165</v>
      </c>
      <c r="D123" s="27">
        <f>'Fuente total'!J33</f>
        <v>0.97</v>
      </c>
      <c r="E123" s="27">
        <f>'Fuente total'!K33</f>
        <v>0.97</v>
      </c>
      <c r="F123" s="27">
        <f>'Fuente total'!L33</f>
        <v>0.97</v>
      </c>
      <c r="G123" s="27">
        <f>'Fuente total'!M33</f>
        <v>0.97</v>
      </c>
      <c r="H123" s="29">
        <v>0.97</v>
      </c>
      <c r="I123" s="47">
        <v>1</v>
      </c>
      <c r="J123" s="47">
        <f t="shared" si="6"/>
        <v>0.97</v>
      </c>
      <c r="K123" s="47">
        <f t="shared" si="9"/>
        <v>0.97</v>
      </c>
      <c r="L123" s="47"/>
      <c r="M123" s="47"/>
    </row>
    <row r="124" spans="1:24" x14ac:dyDescent="0.25">
      <c r="A124" s="4" t="s">
        <v>88</v>
      </c>
      <c r="B124" s="3" t="s">
        <v>242</v>
      </c>
      <c r="C124" s="7" t="s">
        <v>165</v>
      </c>
      <c r="D124" s="27">
        <f>'Fuente total'!J34</f>
        <v>0.99</v>
      </c>
      <c r="E124" s="27">
        <f>'Fuente total'!K34</f>
        <v>0.99</v>
      </c>
      <c r="F124" s="27">
        <f>'Fuente total'!L34</f>
        <v>0.98</v>
      </c>
      <c r="G124" s="27">
        <f>'Fuente total'!M34</f>
        <v>0.98</v>
      </c>
      <c r="H124" s="29">
        <v>0.98799999999999999</v>
      </c>
      <c r="I124" s="47">
        <v>1</v>
      </c>
      <c r="J124" s="47">
        <f t="shared" si="6"/>
        <v>0.98360000000000003</v>
      </c>
      <c r="K124" s="47">
        <f t="shared" si="9"/>
        <v>0.98399999999999999</v>
      </c>
      <c r="L124" s="47"/>
      <c r="M124" s="47"/>
    </row>
    <row r="125" spans="1:24" x14ac:dyDescent="0.25">
      <c r="A125" s="4" t="s">
        <v>88</v>
      </c>
      <c r="B125" s="3" t="s">
        <v>244</v>
      </c>
      <c r="C125" s="7" t="s">
        <v>165</v>
      </c>
      <c r="D125" s="27">
        <f>'Fuente total'!J35</f>
        <v>0.97</v>
      </c>
      <c r="E125" s="27">
        <f>'Fuente total'!K35</f>
        <v>0.97</v>
      </c>
      <c r="F125" s="27">
        <f>'Fuente total'!L35</f>
        <v>0.97</v>
      </c>
      <c r="G125" s="27">
        <f>'Fuente total'!M35</f>
        <v>0.97</v>
      </c>
      <c r="H125" s="29">
        <v>0.97</v>
      </c>
      <c r="I125" s="47">
        <v>1</v>
      </c>
      <c r="J125" s="47">
        <f t="shared" si="6"/>
        <v>0.97</v>
      </c>
      <c r="K125" s="47">
        <f t="shared" si="9"/>
        <v>0.97</v>
      </c>
      <c r="L125" s="47"/>
      <c r="M125" s="47"/>
    </row>
    <row r="126" spans="1:24" x14ac:dyDescent="0.25">
      <c r="A126" s="4" t="s">
        <v>88</v>
      </c>
      <c r="B126" s="3" t="s">
        <v>245</v>
      </c>
      <c r="C126" s="7" t="s">
        <v>165</v>
      </c>
      <c r="D126" s="27">
        <f>'Fuente total'!J36</f>
        <v>0.98</v>
      </c>
      <c r="E126" s="27">
        <f>'Fuente total'!K36</f>
        <v>0.98</v>
      </c>
      <c r="F126" s="27">
        <f>'Fuente total'!L36</f>
        <v>0.99</v>
      </c>
      <c r="G126" s="27">
        <f>'Fuente total'!M36</f>
        <v>0.97</v>
      </c>
      <c r="H126" s="29">
        <v>0.98</v>
      </c>
      <c r="I126" s="47">
        <v>1</v>
      </c>
      <c r="J126" s="47">
        <f t="shared" si="6"/>
        <v>0.98080000000000001</v>
      </c>
      <c r="K126" s="47">
        <f t="shared" si="9"/>
        <v>0.98199999999999998</v>
      </c>
      <c r="L126" s="47"/>
      <c r="M126" s="47"/>
    </row>
    <row r="127" spans="1:24" x14ac:dyDescent="0.25">
      <c r="A127" s="4" t="s">
        <v>88</v>
      </c>
      <c r="B127" s="3" t="s">
        <v>164</v>
      </c>
      <c r="C127" s="7" t="s">
        <v>165</v>
      </c>
      <c r="D127" s="27">
        <f>'Fuente total'!J37</f>
        <v>0.98</v>
      </c>
      <c r="E127" s="27">
        <f>'Fuente total'!K37</f>
        <v>0.95</v>
      </c>
      <c r="F127" s="27">
        <f>'Fuente total'!L37</f>
        <v>0.95</v>
      </c>
      <c r="G127" s="27">
        <f>'Fuente total'!M37</f>
        <v>0.99</v>
      </c>
      <c r="H127" s="29">
        <v>0.96599999999999997</v>
      </c>
      <c r="I127" s="47">
        <v>1</v>
      </c>
      <c r="J127" s="47">
        <f t="shared" si="6"/>
        <v>0.96660000000000001</v>
      </c>
      <c r="K127" s="47">
        <f t="shared" si="9"/>
        <v>0.96399999999999997</v>
      </c>
      <c r="L127" s="47"/>
      <c r="M127" s="47"/>
    </row>
    <row r="128" spans="1:24" x14ac:dyDescent="0.25">
      <c r="A128" s="4" t="s">
        <v>88</v>
      </c>
      <c r="B128" s="3" t="s">
        <v>241</v>
      </c>
      <c r="C128" s="7" t="s">
        <v>165</v>
      </c>
      <c r="D128" s="27">
        <f>'Fuente total'!J38</f>
        <v>0.97</v>
      </c>
      <c r="E128" s="27">
        <f>'Fuente total'!K38</f>
        <v>0.99</v>
      </c>
      <c r="F128" s="27">
        <f>'Fuente total'!L38</f>
        <v>0.97</v>
      </c>
      <c r="G128" s="27">
        <f>'Fuente total'!M38</f>
        <v>0.97</v>
      </c>
      <c r="H128" s="29">
        <v>0.97799999999999998</v>
      </c>
      <c r="I128" s="47">
        <v>1</v>
      </c>
      <c r="J128" s="47">
        <f t="shared" si="6"/>
        <v>0.97360000000000002</v>
      </c>
      <c r="K128" s="47">
        <f t="shared" si="9"/>
        <v>0.97399999999999998</v>
      </c>
      <c r="L128" s="47"/>
      <c r="M128" s="47"/>
    </row>
    <row r="129" spans="1:25" s="4" customFormat="1" x14ac:dyDescent="0.25">
      <c r="A129" s="4" t="s">
        <v>88</v>
      </c>
      <c r="B129" s="3" t="s">
        <v>163</v>
      </c>
      <c r="C129" s="7" t="s">
        <v>165</v>
      </c>
      <c r="D129" s="27">
        <f>'Fuente total'!J39</f>
        <v>1</v>
      </c>
      <c r="E129" s="27">
        <f>'Fuente total'!K39</f>
        <v>0.97</v>
      </c>
      <c r="F129" s="27">
        <f>'Fuente total'!L39</f>
        <v>0.97</v>
      </c>
      <c r="G129" s="27">
        <f>'Fuente total'!M39</f>
        <v>0.97</v>
      </c>
      <c r="H129" s="29">
        <v>0.98199999999999998</v>
      </c>
      <c r="I129" s="47">
        <v>1</v>
      </c>
      <c r="J129" s="47">
        <f t="shared" si="6"/>
        <v>0.97539999999999993</v>
      </c>
      <c r="K129" s="47">
        <f t="shared" si="9"/>
        <v>0.97599999999999998</v>
      </c>
      <c r="L129" s="47"/>
      <c r="M129" s="47"/>
      <c r="O129"/>
      <c r="P129"/>
      <c r="Q129"/>
      <c r="S129"/>
      <c r="T129"/>
      <c r="U129"/>
      <c r="W129"/>
      <c r="X129"/>
      <c r="Y129"/>
    </row>
    <row r="130" spans="1:25" x14ac:dyDescent="0.25">
      <c r="A130" s="4" t="s">
        <v>88</v>
      </c>
      <c r="B130" s="3" t="s">
        <v>243</v>
      </c>
      <c r="C130" s="7" t="s">
        <v>166</v>
      </c>
      <c r="D130" s="27">
        <f>'Fuente total'!N32</f>
        <v>0.9</v>
      </c>
      <c r="E130" s="27">
        <f>'Fuente total'!O32</f>
        <v>0.91</v>
      </c>
      <c r="F130" s="27">
        <f>'Fuente total'!P32</f>
        <v>0.9</v>
      </c>
      <c r="G130" s="27">
        <f>'Fuente total'!Q32</f>
        <v>0.94</v>
      </c>
      <c r="H130" s="29">
        <v>0.90800000000000003</v>
      </c>
      <c r="I130" s="47">
        <v>1</v>
      </c>
      <c r="J130" s="47">
        <f t="shared" si="6"/>
        <v>0.91300000000000014</v>
      </c>
      <c r="K130" s="47">
        <f t="shared" si="9"/>
        <v>0.91000000000000014</v>
      </c>
      <c r="L130" s="47"/>
      <c r="M130" s="47"/>
    </row>
    <row r="131" spans="1:25" x14ac:dyDescent="0.25">
      <c r="A131" s="4" t="s">
        <v>88</v>
      </c>
      <c r="B131" s="3" t="s">
        <v>240</v>
      </c>
      <c r="C131" s="7" t="s">
        <v>166</v>
      </c>
      <c r="D131" s="27">
        <f>'Fuente total'!N33</f>
        <v>0.91</v>
      </c>
      <c r="E131" s="27">
        <f>'Fuente total'!O33</f>
        <v>0.93</v>
      </c>
      <c r="F131" s="27">
        <f>'Fuente total'!P33</f>
        <v>0.9</v>
      </c>
      <c r="G131" s="27">
        <f>'Fuente total'!Q33</f>
        <v>0.94</v>
      </c>
      <c r="H131" s="29">
        <v>0.92</v>
      </c>
      <c r="I131" s="47">
        <v>1</v>
      </c>
      <c r="J131" s="47">
        <f t="shared" si="6"/>
        <v>0.91840000000000011</v>
      </c>
      <c r="K131" s="47">
        <f t="shared" si="9"/>
        <v>0.91600000000000015</v>
      </c>
      <c r="L131" s="47"/>
      <c r="M131" s="47"/>
    </row>
    <row r="132" spans="1:25" x14ac:dyDescent="0.25">
      <c r="A132" s="4" t="s">
        <v>88</v>
      </c>
      <c r="B132" s="3" t="s">
        <v>242</v>
      </c>
      <c r="C132" s="7" t="s">
        <v>166</v>
      </c>
      <c r="D132" s="27">
        <f>'Fuente total'!N34</f>
        <v>0.93</v>
      </c>
      <c r="E132" s="27">
        <f>'Fuente total'!O34</f>
        <v>0.9</v>
      </c>
      <c r="F132" s="27">
        <f>'Fuente total'!P34</f>
        <v>0.91</v>
      </c>
      <c r="G132" s="27">
        <f>'Fuente total'!Q34</f>
        <v>0.9</v>
      </c>
      <c r="H132" s="29">
        <v>0.91300000000000003</v>
      </c>
      <c r="I132" s="47">
        <v>1</v>
      </c>
      <c r="J132" s="47">
        <f t="shared" si="6"/>
        <v>0.90900000000000014</v>
      </c>
      <c r="K132" s="47">
        <f t="shared" si="9"/>
        <v>0.91000000000000014</v>
      </c>
      <c r="L132" s="47"/>
      <c r="M132" s="47"/>
    </row>
    <row r="133" spans="1:25" x14ac:dyDescent="0.25">
      <c r="A133" s="4" t="s">
        <v>88</v>
      </c>
      <c r="B133" s="3" t="s">
        <v>244</v>
      </c>
      <c r="C133" s="7" t="s">
        <v>166</v>
      </c>
      <c r="D133" s="27">
        <f>'Fuente total'!N35</f>
        <v>0.91</v>
      </c>
      <c r="E133" s="27">
        <f>'Fuente total'!O35</f>
        <v>0.94</v>
      </c>
      <c r="F133" s="27">
        <f>'Fuente total'!P35</f>
        <v>0.93</v>
      </c>
      <c r="G133" s="27">
        <f>'Fuente total'!Q35</f>
        <v>0.94</v>
      </c>
      <c r="H133" s="29">
        <v>0.92699999999999994</v>
      </c>
      <c r="I133" s="47">
        <v>1</v>
      </c>
      <c r="J133" s="47">
        <f t="shared" si="6"/>
        <v>0.93099999999999994</v>
      </c>
      <c r="K133" s="47">
        <f t="shared" si="9"/>
        <v>0.92999999999999994</v>
      </c>
      <c r="L133" s="47"/>
      <c r="M133" s="47"/>
    </row>
    <row r="134" spans="1:25" x14ac:dyDescent="0.25">
      <c r="A134" s="4" t="s">
        <v>88</v>
      </c>
      <c r="B134" s="3" t="s">
        <v>245</v>
      </c>
      <c r="C134" s="7" t="s">
        <v>166</v>
      </c>
      <c r="D134" s="27">
        <f>'Fuente total'!N36</f>
        <v>0.93</v>
      </c>
      <c r="E134" s="27">
        <f>'Fuente total'!O36</f>
        <v>0.93500000000000005</v>
      </c>
      <c r="F134" s="27">
        <f>'Fuente total'!P36</f>
        <v>0.9</v>
      </c>
      <c r="G134" s="27">
        <f>'Fuente total'!Q36</f>
        <v>0.92</v>
      </c>
      <c r="H134" s="29">
        <v>0.92800000000000005</v>
      </c>
      <c r="I134" s="47">
        <v>1</v>
      </c>
      <c r="J134" s="47">
        <f t="shared" si="6"/>
        <v>0.91730000000000012</v>
      </c>
      <c r="K134" s="47">
        <f t="shared" si="9"/>
        <v>0.91700000000000015</v>
      </c>
      <c r="L134" s="47"/>
      <c r="M134" s="47"/>
    </row>
    <row r="135" spans="1:25" x14ac:dyDescent="0.25">
      <c r="A135" s="4" t="s">
        <v>88</v>
      </c>
      <c r="B135" s="3" t="s">
        <v>164</v>
      </c>
      <c r="C135" s="7" t="s">
        <v>166</v>
      </c>
      <c r="D135" s="27">
        <f>'Fuente total'!N37</f>
        <v>0.9</v>
      </c>
      <c r="E135" s="27">
        <f>'Fuente total'!O37</f>
        <v>0.94099999999999995</v>
      </c>
      <c r="F135" s="27">
        <f>'Fuente total'!P37</f>
        <v>0.94</v>
      </c>
      <c r="G135" s="27">
        <f>'Fuente total'!Q37</f>
        <v>0.91600000000000004</v>
      </c>
      <c r="H135" s="29">
        <v>0.92200000000000004</v>
      </c>
      <c r="I135" s="47">
        <v>1</v>
      </c>
      <c r="J135" s="47">
        <f t="shared" si="6"/>
        <v>0.92625999999999997</v>
      </c>
      <c r="K135" s="47">
        <f t="shared" si="9"/>
        <v>0.9274</v>
      </c>
      <c r="L135" s="47"/>
      <c r="M135" s="47"/>
    </row>
    <row r="136" spans="1:25" x14ac:dyDescent="0.25">
      <c r="A136" s="4" t="s">
        <v>88</v>
      </c>
      <c r="B136" s="3" t="s">
        <v>241</v>
      </c>
      <c r="C136" s="7" t="s">
        <v>166</v>
      </c>
      <c r="D136" s="27">
        <f>'Fuente total'!N38</f>
        <v>0.94</v>
      </c>
      <c r="E136" s="27">
        <f>'Fuente total'!O38</f>
        <v>0.9</v>
      </c>
      <c r="F136" s="27">
        <f>'Fuente total'!P38</f>
        <v>0.93</v>
      </c>
      <c r="G136" s="27">
        <f>'Fuente total'!Q38</f>
        <v>0.91200000000000003</v>
      </c>
      <c r="H136" s="29">
        <v>0.92019999999999991</v>
      </c>
      <c r="I136" s="47">
        <v>1</v>
      </c>
      <c r="J136" s="47">
        <f t="shared" si="6"/>
        <v>0.92135999999999996</v>
      </c>
      <c r="K136" s="47">
        <f t="shared" si="9"/>
        <v>0.9224</v>
      </c>
      <c r="L136" s="47"/>
      <c r="M136" s="47"/>
    </row>
    <row r="137" spans="1:25" x14ac:dyDescent="0.25">
      <c r="A137" s="4" t="s">
        <v>88</v>
      </c>
      <c r="B137" s="3" t="s">
        <v>163</v>
      </c>
      <c r="C137" s="7" t="s">
        <v>166</v>
      </c>
      <c r="D137" s="27">
        <f>'Fuente total'!N39</f>
        <v>0.91</v>
      </c>
      <c r="E137" s="27">
        <f>'Fuente total'!O39</f>
        <v>0.92614285714285705</v>
      </c>
      <c r="F137" s="27">
        <f>'Fuente total'!P39</f>
        <v>0.9</v>
      </c>
      <c r="G137" s="27">
        <f>'Fuente total'!Q39</f>
        <v>0.91</v>
      </c>
      <c r="H137" s="29">
        <v>0.91545714285714286</v>
      </c>
      <c r="I137" s="47">
        <v>1</v>
      </c>
      <c r="J137" s="47">
        <f t="shared" si="6"/>
        <v>0.90930571428571449</v>
      </c>
      <c r="K137" s="47">
        <f t="shared" si="9"/>
        <v>0.90922857142857161</v>
      </c>
      <c r="L137" s="47"/>
      <c r="M137" s="47"/>
    </row>
    <row r="138" spans="1:25" ht="30" x14ac:dyDescent="0.25">
      <c r="A138" s="4" t="s">
        <v>88</v>
      </c>
      <c r="B138" s="3" t="s">
        <v>243</v>
      </c>
      <c r="C138" s="7" t="s">
        <v>167</v>
      </c>
      <c r="D138" s="28">
        <f>'Fuente total'!F32</f>
        <v>0.02</v>
      </c>
      <c r="E138" s="28">
        <f>'Fuente total'!G32</f>
        <v>2.1000000000000001E-2</v>
      </c>
      <c r="F138" s="28">
        <f>'Fuente total'!H32</f>
        <v>2.1000000000000001E-2</v>
      </c>
      <c r="G138" s="28">
        <f>'Fuente total'!I32</f>
        <v>1.9699999999999999E-2</v>
      </c>
      <c r="H138" s="29">
        <v>1.9295E-2</v>
      </c>
      <c r="I138" s="29">
        <v>1.634E-2</v>
      </c>
      <c r="J138" s="47">
        <f t="shared" ref="J138:J169" si="10">K138+$Q$2*(G138-K138)</f>
        <v>2.0456000000000002E-2</v>
      </c>
      <c r="K138" s="47">
        <f t="shared" si="9"/>
        <v>2.0540000000000003E-2</v>
      </c>
      <c r="L138" s="47"/>
      <c r="M138" s="47"/>
    </row>
    <row r="139" spans="1:25" ht="30" x14ac:dyDescent="0.25">
      <c r="A139" s="4" t="s">
        <v>88</v>
      </c>
      <c r="B139" s="3" t="s">
        <v>240</v>
      </c>
      <c r="C139" s="7" t="s">
        <v>167</v>
      </c>
      <c r="D139" s="28">
        <f>'Fuente total'!F33</f>
        <v>2.0500000000000001E-2</v>
      </c>
      <c r="E139" s="28">
        <f>'Fuente total'!G33</f>
        <v>2.01E-2</v>
      </c>
      <c r="F139" s="28">
        <f>'Fuente total'!H33</f>
        <v>2.0899999999999998E-2</v>
      </c>
      <c r="G139" s="28">
        <f>'Fuente total'!I33</f>
        <v>2.12E-2</v>
      </c>
      <c r="H139" s="29">
        <v>1.9720000000000001E-2</v>
      </c>
      <c r="I139" s="29">
        <v>1.6539999999999999E-2</v>
      </c>
      <c r="J139" s="47">
        <f t="shared" si="10"/>
        <v>2.0768000000000002E-2</v>
      </c>
      <c r="K139" s="47">
        <f t="shared" si="9"/>
        <v>2.0720000000000002E-2</v>
      </c>
      <c r="L139" s="47"/>
      <c r="M139" s="47"/>
    </row>
    <row r="140" spans="1:25" ht="30" x14ac:dyDescent="0.25">
      <c r="A140" s="4" t="s">
        <v>88</v>
      </c>
      <c r="B140" s="3" t="s">
        <v>242</v>
      </c>
      <c r="C140" s="7" t="s">
        <v>167</v>
      </c>
      <c r="D140" s="28">
        <f>'Fuente total'!F34</f>
        <v>2.1000000000000001E-2</v>
      </c>
      <c r="E140" s="28">
        <f>'Fuente total'!G34</f>
        <v>1.9199999999999998E-2</v>
      </c>
      <c r="F140" s="28">
        <f>'Fuente total'!H34</f>
        <v>2.06E-2</v>
      </c>
      <c r="G140" s="28">
        <f>'Fuente total'!I34</f>
        <v>2.0299999999999999E-2</v>
      </c>
      <c r="H140" s="29">
        <v>1.9265000000000001E-2</v>
      </c>
      <c r="I140" s="29">
        <v>1.6220000000000002E-2</v>
      </c>
      <c r="J140" s="47">
        <f t="shared" si="10"/>
        <v>2.0336000000000003E-2</v>
      </c>
      <c r="K140" s="47">
        <f t="shared" si="9"/>
        <v>2.0340000000000004E-2</v>
      </c>
      <c r="L140" s="47"/>
      <c r="M140" s="47"/>
    </row>
    <row r="141" spans="1:25" ht="30" x14ac:dyDescent="0.25">
      <c r="A141" s="4" t="s">
        <v>88</v>
      </c>
      <c r="B141" s="3" t="s">
        <v>244</v>
      </c>
      <c r="C141" s="7" t="s">
        <v>167</v>
      </c>
      <c r="D141" s="28">
        <f>'Fuente total'!F35</f>
        <v>2.0799999999999999E-2</v>
      </c>
      <c r="E141" s="28">
        <f>'Fuente total'!G35</f>
        <v>1.9800000000000002E-2</v>
      </c>
      <c r="F141" s="28">
        <f>'Fuente total'!H35</f>
        <v>2.04333333333333E-2</v>
      </c>
      <c r="G141" s="28">
        <f>'Fuente total'!I35</f>
        <v>2.1000000000000001E-2</v>
      </c>
      <c r="H141" s="29">
        <v>1.955666666666666E-2</v>
      </c>
      <c r="I141" s="29">
        <v>1.640666666666666E-2</v>
      </c>
      <c r="J141" s="47">
        <f t="shared" si="10"/>
        <v>2.0543999999999989E-2</v>
      </c>
      <c r="K141" s="47">
        <f t="shared" si="9"/>
        <v>2.0493333333333322E-2</v>
      </c>
      <c r="L141" s="47"/>
      <c r="M141" s="47"/>
    </row>
    <row r="142" spans="1:25" ht="30" x14ac:dyDescent="0.25">
      <c r="A142" s="4" t="s">
        <v>88</v>
      </c>
      <c r="B142" s="3" t="s">
        <v>245</v>
      </c>
      <c r="C142" s="7" t="s">
        <v>167</v>
      </c>
      <c r="D142" s="28">
        <f>'Fuente total'!F36</f>
        <v>3.0599999999999999E-2</v>
      </c>
      <c r="E142" s="28">
        <f>'Fuente total'!G36</f>
        <v>2.0199999999999999E-2</v>
      </c>
      <c r="F142" s="28">
        <f>'Fuente total'!H36</f>
        <v>2.0233333333333301E-2</v>
      </c>
      <c r="G142" s="28">
        <f>'Fuente total'!I36</f>
        <v>2.07E-2</v>
      </c>
      <c r="H142" s="29">
        <v>2.1451666666666661E-2</v>
      </c>
      <c r="I142" s="29">
        <v>1.834666666666666E-2</v>
      </c>
      <c r="J142" s="47">
        <f t="shared" si="10"/>
        <v>2.222399999999999E-2</v>
      </c>
      <c r="K142" s="47">
        <f t="shared" si="9"/>
        <v>2.2393333333333324E-2</v>
      </c>
      <c r="L142" s="47"/>
      <c r="M142" s="47"/>
    </row>
    <row r="143" spans="1:25" ht="30" x14ac:dyDescent="0.25">
      <c r="A143" s="4" t="s">
        <v>88</v>
      </c>
      <c r="B143" s="3" t="s">
        <v>164</v>
      </c>
      <c r="C143" s="7" t="s">
        <v>167</v>
      </c>
      <c r="D143" s="28">
        <f>'Fuente total'!F37</f>
        <v>0.02</v>
      </c>
      <c r="E143" s="28">
        <f>'Fuente total'!G37</f>
        <v>1.9800000000000002E-2</v>
      </c>
      <c r="F143" s="28">
        <f>'Fuente total'!H37</f>
        <v>1.9599999999999999E-2</v>
      </c>
      <c r="G143" s="28">
        <f>'Fuente total'!I37</f>
        <v>2.0400000000000001E-2</v>
      </c>
      <c r="H143" s="29">
        <v>1.9020000000000002E-2</v>
      </c>
      <c r="I143" s="29">
        <v>1.5960000000000002E-2</v>
      </c>
      <c r="J143" s="47">
        <f t="shared" si="10"/>
        <v>1.9932000000000002E-2</v>
      </c>
      <c r="K143" s="47">
        <f t="shared" si="9"/>
        <v>1.9880000000000002E-2</v>
      </c>
      <c r="L143" s="47"/>
      <c r="M143" s="47"/>
    </row>
    <row r="144" spans="1:25" ht="30" x14ac:dyDescent="0.25">
      <c r="A144" s="4" t="s">
        <v>88</v>
      </c>
      <c r="B144" s="3" t="s">
        <v>241</v>
      </c>
      <c r="C144" s="7" t="s">
        <v>167</v>
      </c>
      <c r="D144" s="28">
        <f>'Fuente total'!F38</f>
        <v>2.86E-2</v>
      </c>
      <c r="E144" s="28">
        <f>'Fuente total'!G38</f>
        <v>1.95066666666667E-2</v>
      </c>
      <c r="F144" s="28">
        <f>'Fuente total'!H38</f>
        <v>2.1100000000000001E-2</v>
      </c>
      <c r="G144" s="28">
        <f>'Fuente total'!I38</f>
        <v>2.0820000000000002E-2</v>
      </c>
      <c r="H144" s="29">
        <v>2.1128333333333339E-2</v>
      </c>
      <c r="I144" s="29">
        <v>1.8005333333333342E-2</v>
      </c>
      <c r="J144" s="47">
        <f t="shared" si="10"/>
        <v>2.2084800000000005E-2</v>
      </c>
      <c r="K144" s="47">
        <f t="shared" si="9"/>
        <v>2.222533333333334E-2</v>
      </c>
      <c r="L144" s="47"/>
      <c r="M144" s="47"/>
    </row>
    <row r="145" spans="1:13" ht="30" x14ac:dyDescent="0.25">
      <c r="A145" s="4" t="s">
        <v>88</v>
      </c>
      <c r="B145" s="3" t="s">
        <v>163</v>
      </c>
      <c r="C145" s="7" t="s">
        <v>167</v>
      </c>
      <c r="D145" s="28">
        <f>'Fuente total'!F39</f>
        <v>2.0199999999999999E-2</v>
      </c>
      <c r="E145" s="28">
        <f>'Fuente total'!G39</f>
        <v>1.9900000000000001E-2</v>
      </c>
      <c r="F145" s="28">
        <f>'Fuente total'!H39</f>
        <v>1.9800000000000002E-2</v>
      </c>
      <c r="G145" s="28">
        <f>'Fuente total'!I39</f>
        <v>2.1000000000000001E-2</v>
      </c>
      <c r="H145" s="29">
        <v>1.933E-2</v>
      </c>
      <c r="I145" s="29">
        <v>1.618E-2</v>
      </c>
      <c r="J145" s="47">
        <f t="shared" si="10"/>
        <v>2.0226000000000004E-2</v>
      </c>
      <c r="K145" s="47">
        <f t="shared" si="9"/>
        <v>2.0140000000000005E-2</v>
      </c>
      <c r="L145" s="47"/>
      <c r="M145" s="47"/>
    </row>
    <row r="146" spans="1:13" ht="30" x14ac:dyDescent="0.25">
      <c r="A146" s="4" t="s">
        <v>88</v>
      </c>
      <c r="B146" s="3" t="s">
        <v>243</v>
      </c>
      <c r="C146" s="7" t="s">
        <v>75</v>
      </c>
      <c r="D146" s="28">
        <f>'Fuente total'!R32</f>
        <v>1.8700000000000001E-2</v>
      </c>
      <c r="E146" s="28">
        <f>'Fuente total'!S32</f>
        <v>2.0299999999999901E-2</v>
      </c>
      <c r="F146" s="28">
        <f>'Fuente total'!T32</f>
        <v>1.89E-2</v>
      </c>
      <c r="G146" s="28">
        <f>'Fuente total'!U32</f>
        <v>1.9699999999999999E-2</v>
      </c>
      <c r="H146" s="29">
        <v>1.8474999999999981E-2</v>
      </c>
      <c r="I146" s="29">
        <v>1.5519999999999982E-2</v>
      </c>
      <c r="J146" s="47">
        <f t="shared" si="10"/>
        <v>1.9339999999999982E-2</v>
      </c>
      <c r="K146" s="47">
        <f t="shared" si="9"/>
        <v>1.929999999999998E-2</v>
      </c>
      <c r="L146" s="47"/>
      <c r="M146" s="47"/>
    </row>
    <row r="147" spans="1:13" ht="30" x14ac:dyDescent="0.25">
      <c r="A147" s="4" t="s">
        <v>88</v>
      </c>
      <c r="B147" s="3" t="s">
        <v>240</v>
      </c>
      <c r="C147" s="7" t="s">
        <v>75</v>
      </c>
      <c r="D147" s="28">
        <f>'Fuente total'!R33</f>
        <v>2.0199999999999899E-2</v>
      </c>
      <c r="E147" s="28">
        <f>'Fuente total'!S33</f>
        <v>1.9099999999999999E-2</v>
      </c>
      <c r="F147" s="28">
        <f>'Fuente total'!T33</f>
        <v>2.0299999999999901E-2</v>
      </c>
      <c r="G147" s="28">
        <f>'Fuente total'!U33</f>
        <v>2.0966666666666502E-2</v>
      </c>
      <c r="H147" s="29">
        <v>1.9258333333333235E-2</v>
      </c>
      <c r="I147" s="29">
        <v>1.6113333333333261E-2</v>
      </c>
      <c r="J147" s="47">
        <f t="shared" si="10"/>
        <v>2.0252666666666565E-2</v>
      </c>
      <c r="K147" s="47">
        <f t="shared" ref="K147:K169" si="11">(D147*0.2)+(E147*0.2)+(F147*0.4)+(G147*0.2)</f>
        <v>2.0173333333333238E-2</v>
      </c>
      <c r="L147" s="47"/>
      <c r="M147" s="47"/>
    </row>
    <row r="148" spans="1:13" ht="30" x14ac:dyDescent="0.25">
      <c r="A148" s="4" t="s">
        <v>88</v>
      </c>
      <c r="B148" s="3" t="s">
        <v>242</v>
      </c>
      <c r="C148" s="7" t="s">
        <v>75</v>
      </c>
      <c r="D148" s="28">
        <f>'Fuente total'!R34</f>
        <v>1.9800000000000002E-2</v>
      </c>
      <c r="E148" s="28">
        <f>'Fuente total'!S34</f>
        <v>1.9599999999999999E-2</v>
      </c>
      <c r="F148" s="28">
        <f>'Fuente total'!T34</f>
        <v>2.1699999999999799E-2</v>
      </c>
      <c r="G148" s="28">
        <f>'Fuente total'!U34</f>
        <v>2.0399999999999901E-2</v>
      </c>
      <c r="H148" s="29">
        <v>1.9359999999999926E-2</v>
      </c>
      <c r="I148" s="29">
        <v>1.6299999999999943E-2</v>
      </c>
      <c r="J148" s="47">
        <f t="shared" si="10"/>
        <v>2.0615999999999902E-2</v>
      </c>
      <c r="K148" s="47">
        <f t="shared" si="11"/>
        <v>2.0639999999999901E-2</v>
      </c>
      <c r="L148" s="47"/>
      <c r="M148" s="47"/>
    </row>
    <row r="149" spans="1:13" ht="30" x14ac:dyDescent="0.25">
      <c r="A149" s="4" t="s">
        <v>88</v>
      </c>
      <c r="B149" s="3" t="s">
        <v>244</v>
      </c>
      <c r="C149" s="7" t="s">
        <v>75</v>
      </c>
      <c r="D149" s="28">
        <f>'Fuente total'!R35</f>
        <v>2.0666666666666601E-2</v>
      </c>
      <c r="E149" s="28">
        <f>'Fuente total'!S35</f>
        <v>1.8966666666666701E-2</v>
      </c>
      <c r="F149" s="28">
        <f>'Fuente total'!T35</f>
        <v>2.04999999999999E-2</v>
      </c>
      <c r="G149" s="28">
        <f>'Fuente total'!U35</f>
        <v>2.05999999999999E-2</v>
      </c>
      <c r="H149" s="29">
        <v>1.9236666666666607E-2</v>
      </c>
      <c r="I149" s="29">
        <v>1.6146666666666622E-2</v>
      </c>
      <c r="J149" s="47">
        <f t="shared" si="10"/>
        <v>2.0281999999999932E-2</v>
      </c>
      <c r="K149" s="47">
        <f t="shared" si="11"/>
        <v>2.0246666666666604E-2</v>
      </c>
      <c r="L149" s="47"/>
      <c r="M149" s="47"/>
    </row>
    <row r="150" spans="1:13" ht="30" x14ac:dyDescent="0.25">
      <c r="A150" s="4" t="s">
        <v>88</v>
      </c>
      <c r="B150" s="3" t="s">
        <v>245</v>
      </c>
      <c r="C150" s="7" t="s">
        <v>75</v>
      </c>
      <c r="D150" s="28">
        <f>'Fuente total'!R36</f>
        <v>2.1216666666666599E-2</v>
      </c>
      <c r="E150" s="28">
        <f>'Fuente total'!S36</f>
        <v>1.9E-2</v>
      </c>
      <c r="F150" s="28">
        <f>'Fuente total'!T36</f>
        <v>1.9800000000000002E-2</v>
      </c>
      <c r="G150" s="28">
        <f>'Fuente total'!U36</f>
        <v>2.0699999999999899E-2</v>
      </c>
      <c r="H150" s="29">
        <v>1.9248333333333284E-2</v>
      </c>
      <c r="I150" s="29">
        <v>1.6143333333333301E-2</v>
      </c>
      <c r="J150" s="47">
        <f t="shared" si="10"/>
        <v>2.0162999999999962E-2</v>
      </c>
      <c r="K150" s="47">
        <f t="shared" si="11"/>
        <v>2.0103333333333303E-2</v>
      </c>
      <c r="L150" s="47"/>
      <c r="M150" s="47"/>
    </row>
    <row r="151" spans="1:13" ht="30" x14ac:dyDescent="0.25">
      <c r="A151" s="4" t="s">
        <v>88</v>
      </c>
      <c r="B151" s="3" t="s">
        <v>164</v>
      </c>
      <c r="C151" s="7" t="s">
        <v>75</v>
      </c>
      <c r="D151" s="28">
        <f>'Fuente total'!R37</f>
        <v>1.95E-2</v>
      </c>
      <c r="E151" s="28">
        <f>'Fuente total'!S37</f>
        <v>2.0099999999999899E-2</v>
      </c>
      <c r="F151" s="28">
        <f>'Fuente total'!T37</f>
        <v>1.9900000000000001E-2</v>
      </c>
      <c r="G151" s="28">
        <f>'Fuente total'!U37</f>
        <v>1.9199999999999998E-2</v>
      </c>
      <c r="H151" s="29">
        <v>1.861999999999998E-2</v>
      </c>
      <c r="I151" s="29">
        <v>1.573999999999998E-2</v>
      </c>
      <c r="J151" s="47">
        <f t="shared" si="10"/>
        <v>1.9667999999999984E-2</v>
      </c>
      <c r="K151" s="47">
        <f t="shared" si="11"/>
        <v>1.9719999999999981E-2</v>
      </c>
      <c r="L151" s="47"/>
      <c r="M151" s="47"/>
    </row>
    <row r="152" spans="1:13" ht="30" x14ac:dyDescent="0.25">
      <c r="A152" s="4" t="s">
        <v>88</v>
      </c>
      <c r="B152" s="3" t="s">
        <v>241</v>
      </c>
      <c r="C152" s="7" t="s">
        <v>75</v>
      </c>
      <c r="D152" s="28">
        <f>'Fuente total'!R38</f>
        <v>2.0799999999999898E-2</v>
      </c>
      <c r="E152" s="28">
        <f>'Fuente total'!S38</f>
        <v>1.9300000000000001E-2</v>
      </c>
      <c r="F152" s="28">
        <f>'Fuente total'!T38</f>
        <v>1.8799999999999997E-2</v>
      </c>
      <c r="G152" s="28">
        <f>'Fuente total'!U38</f>
        <v>1.9349999999999999E-2</v>
      </c>
      <c r="H152" s="29">
        <v>1.8552499999999979E-2</v>
      </c>
      <c r="I152" s="29">
        <v>1.564999999999998E-2</v>
      </c>
      <c r="J152" s="47">
        <f t="shared" si="10"/>
        <v>1.940399999999998E-2</v>
      </c>
      <c r="K152" s="47">
        <f t="shared" si="11"/>
        <v>1.9409999999999979E-2</v>
      </c>
      <c r="L152" s="47"/>
      <c r="M152" s="47"/>
    </row>
    <row r="153" spans="1:13" ht="30" x14ac:dyDescent="0.25">
      <c r="A153" s="4" t="s">
        <v>88</v>
      </c>
      <c r="B153" s="3" t="s">
        <v>163</v>
      </c>
      <c r="C153" s="7" t="s">
        <v>75</v>
      </c>
      <c r="D153" s="28">
        <f>'Fuente total'!R39</f>
        <v>1.9800000000000002E-2</v>
      </c>
      <c r="E153" s="28">
        <f>'Fuente total'!S39</f>
        <v>1.9800000000000002E-2</v>
      </c>
      <c r="F153" s="28">
        <f>'Fuente total'!T39</f>
        <v>0.02</v>
      </c>
      <c r="G153" s="28">
        <f>'Fuente total'!U39</f>
        <v>1.9400000000000001E-2</v>
      </c>
      <c r="H153" s="29">
        <v>1.8710000000000001E-2</v>
      </c>
      <c r="I153" s="29">
        <v>1.5800000000000002E-2</v>
      </c>
      <c r="J153" s="47">
        <f t="shared" si="10"/>
        <v>1.9760000000000003E-2</v>
      </c>
      <c r="K153" s="47">
        <f t="shared" si="11"/>
        <v>1.9800000000000005E-2</v>
      </c>
      <c r="L153" s="47"/>
      <c r="M153" s="47"/>
    </row>
    <row r="154" spans="1:13" x14ac:dyDescent="0.25">
      <c r="A154" s="4" t="s">
        <v>88</v>
      </c>
      <c r="B154" s="3" t="s">
        <v>243</v>
      </c>
      <c r="C154" s="7" t="s">
        <v>101</v>
      </c>
      <c r="D154" s="28">
        <v>0.96</v>
      </c>
      <c r="E154" s="28">
        <v>0.97128205031101178</v>
      </c>
      <c r="F154" s="28">
        <v>0.99893333317704225</v>
      </c>
      <c r="G154" s="28">
        <v>0.99583520424681726</v>
      </c>
      <c r="H154" s="29">
        <v>0.97198967386679069</v>
      </c>
      <c r="I154" s="47">
        <v>1</v>
      </c>
      <c r="J154" s="47">
        <f t="shared" si="10"/>
        <v>0.98608062618882619</v>
      </c>
      <c r="K154" s="47">
        <f t="shared" si="11"/>
        <v>0.98499678418238268</v>
      </c>
      <c r="L154" s="47"/>
      <c r="M154" s="47"/>
    </row>
    <row r="155" spans="1:13" x14ac:dyDescent="0.25">
      <c r="A155" s="4" t="s">
        <v>88</v>
      </c>
      <c r="B155" s="3" t="s">
        <v>240</v>
      </c>
      <c r="C155" s="7" t="s">
        <v>101</v>
      </c>
      <c r="D155" s="28">
        <v>0.99771428571428566</v>
      </c>
      <c r="E155" s="28">
        <v>0.99780219775442436</v>
      </c>
      <c r="F155" s="28">
        <v>0.99838095197427645</v>
      </c>
      <c r="G155" s="28">
        <v>0.99918367333757208</v>
      </c>
      <c r="H155" s="29">
        <v>0.99796305591866885</v>
      </c>
      <c r="I155" s="47">
        <v>1</v>
      </c>
      <c r="J155" s="47">
        <f t="shared" si="10"/>
        <v>0.9983815382696275</v>
      </c>
      <c r="K155" s="47">
        <f t="shared" si="11"/>
        <v>0.99829241215096698</v>
      </c>
      <c r="L155" s="47"/>
      <c r="M155" s="47"/>
    </row>
    <row r="156" spans="1:13" x14ac:dyDescent="0.25">
      <c r="A156" s="4" t="s">
        <v>88</v>
      </c>
      <c r="B156" s="3" t="s">
        <v>242</v>
      </c>
      <c r="C156" s="7" t="s">
        <v>101</v>
      </c>
      <c r="D156" s="28">
        <v>0.92500003296765598</v>
      </c>
      <c r="E156" s="28">
        <v>0.98333336630099</v>
      </c>
      <c r="F156" s="28">
        <v>0.97</v>
      </c>
      <c r="G156" s="28">
        <v>0.92500000000000004</v>
      </c>
      <c r="H156" s="29">
        <v>0.95283335970745853</v>
      </c>
      <c r="I156" s="47">
        <v>1</v>
      </c>
      <c r="J156" s="47">
        <f t="shared" si="10"/>
        <v>0.9517000118683564</v>
      </c>
      <c r="K156" s="47">
        <f t="shared" si="11"/>
        <v>0.95466667985372933</v>
      </c>
      <c r="L156" s="47"/>
      <c r="M156" s="47"/>
    </row>
    <row r="157" spans="1:13" x14ac:dyDescent="0.25">
      <c r="A157" s="4" t="s">
        <v>88</v>
      </c>
      <c r="B157" s="3" t="s">
        <v>244</v>
      </c>
      <c r="C157" s="7" t="s">
        <v>101</v>
      </c>
      <c r="D157" s="28">
        <v>0.96</v>
      </c>
      <c r="E157" s="28">
        <v>0.97</v>
      </c>
      <c r="F157" s="28">
        <v>0.97</v>
      </c>
      <c r="G157" s="28">
        <v>0.97</v>
      </c>
      <c r="H157" s="29">
        <v>0.96599999999999997</v>
      </c>
      <c r="I157" s="47">
        <v>1</v>
      </c>
      <c r="J157" s="47">
        <f t="shared" si="10"/>
        <v>0.96819999999999995</v>
      </c>
      <c r="K157" s="47">
        <f t="shared" si="11"/>
        <v>0.96799999999999997</v>
      </c>
      <c r="L157" s="47"/>
      <c r="M157" s="47"/>
    </row>
    <row r="158" spans="1:13" x14ac:dyDescent="0.25">
      <c r="A158" s="4" t="s">
        <v>88</v>
      </c>
      <c r="B158" s="3" t="s">
        <v>245</v>
      </c>
      <c r="C158" s="7" t="s">
        <v>101</v>
      </c>
      <c r="D158" s="28">
        <v>0.91625012362870994</v>
      </c>
      <c r="E158" s="28">
        <v>0.98750032967655998</v>
      </c>
      <c r="F158" s="28">
        <v>0.97750000000000004</v>
      </c>
      <c r="G158" s="28">
        <v>0.94374999999999998</v>
      </c>
      <c r="H158" s="29">
        <v>0.95362518132210805</v>
      </c>
      <c r="I158" s="47">
        <v>1</v>
      </c>
      <c r="J158" s="47">
        <f t="shared" si="10"/>
        <v>0.95882508159494861</v>
      </c>
      <c r="K158" s="47">
        <f t="shared" si="11"/>
        <v>0.96050009066105402</v>
      </c>
      <c r="L158" s="47"/>
      <c r="M158" s="47"/>
    </row>
    <row r="159" spans="1:13" x14ac:dyDescent="0.25">
      <c r="A159" s="4" t="s">
        <v>88</v>
      </c>
      <c r="B159" s="3" t="s">
        <v>164</v>
      </c>
      <c r="C159" s="7" t="s">
        <v>101</v>
      </c>
      <c r="D159" s="28">
        <v>0.98560000000000003</v>
      </c>
      <c r="E159" s="28">
        <v>0.9653846153846154</v>
      </c>
      <c r="F159" s="28">
        <v>0.98980000000000001</v>
      </c>
      <c r="G159" s="28">
        <v>0.99485714285714288</v>
      </c>
      <c r="H159" s="29">
        <v>0.97885956043956057</v>
      </c>
      <c r="I159" s="47">
        <v>1</v>
      </c>
      <c r="J159" s="47">
        <f t="shared" si="10"/>
        <v>0.9860652307692308</v>
      </c>
      <c r="K159" s="47">
        <f t="shared" si="11"/>
        <v>0.98508835164835173</v>
      </c>
      <c r="L159" s="47"/>
      <c r="M159" s="47"/>
    </row>
    <row r="160" spans="1:13" x14ac:dyDescent="0.25">
      <c r="A160" s="4" t="s">
        <v>88</v>
      </c>
      <c r="B160" s="3" t="s">
        <v>241</v>
      </c>
      <c r="C160" s="7" t="s">
        <v>101</v>
      </c>
      <c r="D160" s="28">
        <v>0.95294117647058818</v>
      </c>
      <c r="E160" s="28">
        <v>0.92352941176470593</v>
      </c>
      <c r="F160" s="28">
        <v>0.91176470588235292</v>
      </c>
      <c r="G160" s="28">
        <v>0.91764705882352948</v>
      </c>
      <c r="H160" s="29">
        <v>0.93352941176470594</v>
      </c>
      <c r="I160" s="47">
        <v>1</v>
      </c>
      <c r="J160" s="47">
        <f t="shared" si="10"/>
        <v>0.92294117647058826</v>
      </c>
      <c r="K160" s="47">
        <f t="shared" si="11"/>
        <v>0.92352941176470593</v>
      </c>
      <c r="L160" s="47"/>
      <c r="M160" s="47"/>
    </row>
    <row r="161" spans="1:13" x14ac:dyDescent="0.25">
      <c r="A161" s="4" t="s">
        <v>88</v>
      </c>
      <c r="B161" s="3" t="s">
        <v>163</v>
      </c>
      <c r="C161" s="7" t="s">
        <v>101</v>
      </c>
      <c r="D161" s="28">
        <v>0.96174999999999999</v>
      </c>
      <c r="E161" s="28">
        <v>0.93625000000000003</v>
      </c>
      <c r="F161" s="28">
        <v>0.97</v>
      </c>
      <c r="G161" s="28">
        <v>0.97021921733026162</v>
      </c>
      <c r="H161" s="29">
        <v>0.95322192173302622</v>
      </c>
      <c r="I161" s="47">
        <v>1</v>
      </c>
      <c r="J161" s="47">
        <f t="shared" si="10"/>
        <v>0.96250138085247328</v>
      </c>
      <c r="K161" s="47">
        <f t="shared" si="11"/>
        <v>0.96164384346605236</v>
      </c>
      <c r="L161" s="47"/>
      <c r="M161" s="47"/>
    </row>
    <row r="162" spans="1:13" x14ac:dyDescent="0.25">
      <c r="A162" s="4" t="s">
        <v>88</v>
      </c>
      <c r="B162" s="3" t="s">
        <v>243</v>
      </c>
      <c r="C162" s="9" t="s">
        <v>122</v>
      </c>
      <c r="D162" s="49">
        <f>'Fuente total'!AP2/'Fuente total'!B32</f>
        <v>1.6E-2</v>
      </c>
      <c r="E162" s="49">
        <f>'Fuente total'!AQ2/'Fuente total'!C32</f>
        <v>6.5641027860544445E-4</v>
      </c>
      <c r="F162" s="49">
        <f>'Fuente total'!AR2/'Fuente total'!D32</f>
        <v>1.0400001172183501E-2</v>
      </c>
      <c r="G162" s="49">
        <f>'Fuente total'!AS2/'Fuente total'!E32</f>
        <v>1.665918301273106E-3</v>
      </c>
      <c r="H162" s="29">
        <v>5.9943536956033796E-3</v>
      </c>
      <c r="I162" s="29">
        <v>5.74446595041241E-3</v>
      </c>
      <c r="J162" s="47">
        <f t="shared" si="10"/>
        <v>7.2086113964915099E-3</v>
      </c>
      <c r="K162" s="47">
        <f t="shared" si="11"/>
        <v>7.8244661848491104E-3</v>
      </c>
      <c r="L162" s="27"/>
      <c r="M162" s="27"/>
    </row>
    <row r="163" spans="1:13" x14ac:dyDescent="0.25">
      <c r="A163" s="4" t="s">
        <v>88</v>
      </c>
      <c r="B163" s="3" t="s">
        <v>240</v>
      </c>
      <c r="C163" s="9" t="s">
        <v>122</v>
      </c>
      <c r="D163" s="49">
        <f>'Fuente total'!AP3/'Fuente total'!B33</f>
        <v>1.9285711459915193E-2</v>
      </c>
      <c r="E163" s="49">
        <f>'Fuente total'!AQ3/'Fuente total'!C33</f>
        <v>3.164835233628923E-4</v>
      </c>
      <c r="F163" s="49">
        <f>'Fuente total'!AR3/'Fuente total'!D33</f>
        <v>7.6190495328167993E-4</v>
      </c>
      <c r="G163" s="49">
        <f>'Fuente total'!AS3/'Fuente total'!E33</f>
        <v>3.122449483786975E-4</v>
      </c>
      <c r="H163" s="29">
        <v>7.9482929834772727E-3</v>
      </c>
      <c r="I163" s="29">
        <v>4.1352689769876931E-3</v>
      </c>
      <c r="J163" s="47">
        <f t="shared" si="10"/>
        <v>3.8901094657174959E-3</v>
      </c>
      <c r="K163" s="47">
        <f t="shared" si="11"/>
        <v>4.2876499676440293E-3</v>
      </c>
      <c r="L163" s="47"/>
      <c r="M163" s="47"/>
    </row>
    <row r="164" spans="1:13" x14ac:dyDescent="0.25">
      <c r="A164" s="4" t="s">
        <v>88</v>
      </c>
      <c r="B164" s="3" t="s">
        <v>242</v>
      </c>
      <c r="C164" s="9" t="s">
        <v>122</v>
      </c>
      <c r="D164" s="49">
        <f>'Fuente total'!AP4/'Fuente total'!B34</f>
        <v>3.7330375914797514E-2</v>
      </c>
      <c r="E164" s="49">
        <f>'Fuente total'!AQ4/'Fuente total'!C34</f>
        <v>4.4444444444444453E-2</v>
      </c>
      <c r="F164" s="49">
        <f>'Fuente total'!AR4/'Fuente total'!D34</f>
        <v>6.0665981818557459E-2</v>
      </c>
      <c r="G164" s="49">
        <f>'Fuente total'!AS4/'Fuente total'!E34</f>
        <v>3.0000000000000002E-2</v>
      </c>
      <c r="H164" s="29">
        <v>4.1776526325552538E-2</v>
      </c>
      <c r="I164" s="29">
        <v>3.4488160435559884E-2</v>
      </c>
      <c r="J164" s="47">
        <f t="shared" si="10"/>
        <v>4.4959221119344243E-2</v>
      </c>
      <c r="K164" s="47">
        <f t="shared" si="11"/>
        <v>4.6621356799271381E-2</v>
      </c>
      <c r="L164" s="47"/>
      <c r="M164" s="47"/>
    </row>
    <row r="165" spans="1:13" x14ac:dyDescent="0.25">
      <c r="A165" s="4" t="s">
        <v>88</v>
      </c>
      <c r="B165" s="3" t="s">
        <v>244</v>
      </c>
      <c r="C165" s="9" t="s">
        <v>122</v>
      </c>
      <c r="D165" s="49">
        <f>'Fuente total'!AP5/'Fuente total'!B35</f>
        <v>1.679592185698455E-3</v>
      </c>
      <c r="E165" s="49">
        <f>'Fuente total'!AQ5/'Fuente total'!C35</f>
        <v>1.9999999999999997E-2</v>
      </c>
      <c r="F165" s="49">
        <f>'Fuente total'!AR5/'Fuente total'!D35</f>
        <v>1.7333333333333336E-2</v>
      </c>
      <c r="G165" s="49">
        <f>'Fuente total'!AS5/'Fuente total'!E35</f>
        <v>6.7999999999999996E-3</v>
      </c>
      <c r="H165" s="29">
        <v>1.1085170207612714E-2</v>
      </c>
      <c r="I165" s="29">
        <v>9.1625851038063567E-3</v>
      </c>
      <c r="J165" s="47">
        <f t="shared" si="10"/>
        <v>1.2046326593425723E-2</v>
      </c>
      <c r="K165" s="47">
        <f t="shared" si="11"/>
        <v>1.2629251770473025E-2</v>
      </c>
      <c r="L165" s="47"/>
      <c r="M165" s="47"/>
    </row>
    <row r="166" spans="1:13" x14ac:dyDescent="0.25">
      <c r="A166" s="4" t="s">
        <v>88</v>
      </c>
      <c r="B166" s="3" t="s">
        <v>245</v>
      </c>
      <c r="C166" s="9" t="s">
        <v>122</v>
      </c>
      <c r="D166" s="49">
        <f>'Fuente total'!AP6/'Fuente total'!B36</f>
        <v>1.1999999999999999E-2</v>
      </c>
      <c r="E166" s="49">
        <f>'Fuente total'!AQ6/'Fuente total'!C36</f>
        <v>2.8333333333333335E-2</v>
      </c>
      <c r="F166" s="49">
        <f>'Fuente total'!AR6/'Fuente total'!D36</f>
        <v>8.9999999999999976E-3</v>
      </c>
      <c r="G166" s="49">
        <f>'Fuente total'!AS6/'Fuente total'!E36</f>
        <v>2.2499999999999996E-2</v>
      </c>
      <c r="H166" s="29">
        <v>1.9283333333333329E-2</v>
      </c>
      <c r="I166" s="29">
        <v>1.4366666666666666E-2</v>
      </c>
      <c r="J166" s="47">
        <f t="shared" si="10"/>
        <v>1.6799999999999999E-2</v>
      </c>
      <c r="K166" s="47">
        <f t="shared" si="11"/>
        <v>1.6166666666666666E-2</v>
      </c>
      <c r="L166" s="47"/>
      <c r="M166" s="47"/>
    </row>
    <row r="167" spans="1:13" x14ac:dyDescent="0.25">
      <c r="A167" s="4" t="s">
        <v>88</v>
      </c>
      <c r="B167" s="3" t="s">
        <v>164</v>
      </c>
      <c r="C167" s="9" t="s">
        <v>122</v>
      </c>
      <c r="D167" s="49">
        <f>'Fuente total'!AP7/'Fuente total'!B37</f>
        <v>4.3200000000000001E-3</v>
      </c>
      <c r="E167" s="49">
        <f>'Fuente total'!AQ7/'Fuente total'!C37</f>
        <v>4.7076923076923068E-3</v>
      </c>
      <c r="F167" s="49">
        <f>'Fuente total'!AR7/'Fuente total'!D37</f>
        <v>1.1999999999999999E-2</v>
      </c>
      <c r="G167" s="49">
        <f>'Fuente total'!AS7/'Fuente total'!E37</f>
        <v>2.0571428571428576E-3</v>
      </c>
      <c r="H167" s="29">
        <v>5.0167912087912088E-3</v>
      </c>
      <c r="I167" s="29">
        <v>4.6169670329670323E-3</v>
      </c>
      <c r="J167" s="47">
        <f t="shared" si="10"/>
        <v>6.5209846153846153E-3</v>
      </c>
      <c r="K167" s="47">
        <f t="shared" si="11"/>
        <v>7.0169670329670326E-3</v>
      </c>
      <c r="L167" s="47"/>
      <c r="M167" s="47"/>
    </row>
    <row r="168" spans="1:13" x14ac:dyDescent="0.25">
      <c r="A168" s="4" t="s">
        <v>88</v>
      </c>
      <c r="B168" s="3" t="s">
        <v>241</v>
      </c>
      <c r="C168" s="9" t="s">
        <v>122</v>
      </c>
      <c r="D168" s="49">
        <f>'Fuente total'!AP8/'Fuente total'!B38</f>
        <v>2.8235294117647056E-2</v>
      </c>
      <c r="E168" s="49">
        <f>'Fuente total'!AQ8/'Fuente total'!C38</f>
        <v>1.2549019607843138E-2</v>
      </c>
      <c r="F168" s="49">
        <f>'Fuente total'!AR8/'Fuente total'!D38</f>
        <v>2.1176470588235293E-2</v>
      </c>
      <c r="G168" s="49">
        <f>'Fuente total'!AS8/'Fuente total'!E38</f>
        <v>2.1176470588235293E-2</v>
      </c>
      <c r="H168" s="29">
        <v>2.0549019607843139E-2</v>
      </c>
      <c r="I168" s="29">
        <v>1.6627450980392158E-2</v>
      </c>
      <c r="J168" s="47">
        <f t="shared" si="10"/>
        <v>2.0894117647058827E-2</v>
      </c>
      <c r="K168" s="47">
        <f t="shared" si="11"/>
        <v>2.0862745098039218E-2</v>
      </c>
      <c r="L168" s="47"/>
      <c r="M168" s="47"/>
    </row>
    <row r="169" spans="1:13" x14ac:dyDescent="0.25">
      <c r="A169" s="4" t="s">
        <v>88</v>
      </c>
      <c r="B169" s="3" t="s">
        <v>163</v>
      </c>
      <c r="C169" s="9" t="s">
        <v>122</v>
      </c>
      <c r="D169" s="49">
        <f>'Fuente total'!AP9/'Fuente total'!B39</f>
        <v>2.6999999999999996E-2</v>
      </c>
      <c r="E169" s="49">
        <f>'Fuente total'!AQ9/'Fuente total'!C39</f>
        <v>1.1999999999999999E-2</v>
      </c>
      <c r="F169" s="49">
        <f>'Fuente total'!AR9/'Fuente total'!D39</f>
        <v>6.9999999999999979E-2</v>
      </c>
      <c r="G169" s="49">
        <f>'Fuente total'!AS9/'Fuente total'!E39</f>
        <v>1.1912313067895348E-2</v>
      </c>
      <c r="H169" s="29">
        <v>2.3791231306789534E-2</v>
      </c>
      <c r="I169" s="29">
        <v>2.4182462613579064E-2</v>
      </c>
      <c r="J169" s="47">
        <f t="shared" si="10"/>
        <v>3.555544765901069E-2</v>
      </c>
      <c r="K169" s="47">
        <f t="shared" si="11"/>
        <v>3.8182462613579063E-2</v>
      </c>
      <c r="L169" s="47"/>
      <c r="M169" s="47"/>
    </row>
    <row r="170" spans="1:13" x14ac:dyDescent="0.25">
      <c r="A170" s="4" t="s">
        <v>88</v>
      </c>
      <c r="B170" s="3" t="s">
        <v>243</v>
      </c>
      <c r="C170" t="s">
        <v>124</v>
      </c>
      <c r="D170" s="27">
        <f>'Fuente total'!I43</f>
        <v>0.98</v>
      </c>
      <c r="E170" s="27">
        <f>'Fuente total'!J43</f>
        <v>0.90714285714285703</v>
      </c>
      <c r="F170" s="27">
        <f>'Fuente total'!K43</f>
        <v>0.9</v>
      </c>
      <c r="G170" s="27" t="str">
        <f>'Fuente total'!L43</f>
        <v>Ya no terceriza</v>
      </c>
      <c r="H170" s="27" t="s">
        <v>123</v>
      </c>
      <c r="I170" s="27" t="s">
        <v>123</v>
      </c>
      <c r="J170" s="27" t="s">
        <v>123</v>
      </c>
      <c r="K170" s="27" t="s">
        <v>123</v>
      </c>
      <c r="L170" s="47"/>
      <c r="M170" s="47"/>
    </row>
    <row r="171" spans="1:13" x14ac:dyDescent="0.25">
      <c r="A171" s="4" t="s">
        <v>88</v>
      </c>
      <c r="B171" s="3" t="s">
        <v>240</v>
      </c>
      <c r="C171" s="4" t="s">
        <v>124</v>
      </c>
      <c r="D171" s="27">
        <f>'Fuente total'!I44</f>
        <v>0.95</v>
      </c>
      <c r="E171" s="27">
        <f>'Fuente total'!J44</f>
        <v>0.89</v>
      </c>
      <c r="F171" s="27">
        <f>'Fuente total'!K44</f>
        <v>0.93</v>
      </c>
      <c r="G171" s="27">
        <f>'Fuente total'!L44</f>
        <v>0.92</v>
      </c>
      <c r="H171" s="29">
        <v>0.92099999999999993</v>
      </c>
      <c r="I171" s="47">
        <v>1</v>
      </c>
      <c r="J171" s="47">
        <f t="shared" ref="J171:J202" si="12">K171+$Q$2*(G171-K171)</f>
        <v>0.92360000000000009</v>
      </c>
      <c r="K171" s="47">
        <f t="shared" ref="K171:K185" si="13">(D171*0.2)+(E171*0.2)+(F171*0.4)+(G171*0.2)</f>
        <v>0.92400000000000004</v>
      </c>
      <c r="L171" s="47"/>
      <c r="M171" s="47"/>
    </row>
    <row r="172" spans="1:13" x14ac:dyDescent="0.25">
      <c r="A172" s="4" t="s">
        <v>88</v>
      </c>
      <c r="B172" s="3" t="s">
        <v>242</v>
      </c>
      <c r="C172" s="4" t="s">
        <v>124</v>
      </c>
      <c r="D172" s="27">
        <f>'Fuente total'!I45</f>
        <v>0.96</v>
      </c>
      <c r="E172" s="27">
        <f>'Fuente total'!J45</f>
        <v>0.91</v>
      </c>
      <c r="F172" s="27">
        <f>'Fuente total'!K45</f>
        <v>0.97</v>
      </c>
      <c r="G172" s="27">
        <f>'Fuente total'!L45</f>
        <v>0.98</v>
      </c>
      <c r="H172" s="29">
        <v>0.94299999999999995</v>
      </c>
      <c r="I172" s="47">
        <v>1</v>
      </c>
      <c r="J172" s="47">
        <f t="shared" si="12"/>
        <v>0.96019999999999994</v>
      </c>
      <c r="K172" s="47">
        <f t="shared" si="13"/>
        <v>0.95799999999999996</v>
      </c>
      <c r="L172" s="47"/>
      <c r="M172" s="47"/>
    </row>
    <row r="173" spans="1:13" x14ac:dyDescent="0.25">
      <c r="A173" s="4" t="s">
        <v>88</v>
      </c>
      <c r="B173" s="3" t="s">
        <v>244</v>
      </c>
      <c r="C173" s="4" t="s">
        <v>124</v>
      </c>
      <c r="D173" s="27">
        <f>'Fuente total'!I46</f>
        <v>0.94</v>
      </c>
      <c r="E173" s="27">
        <f>'Fuente total'!J46</f>
        <v>0.93</v>
      </c>
      <c r="F173" s="27">
        <f>'Fuente total'!K46</f>
        <v>0.89971428571428602</v>
      </c>
      <c r="G173" s="27">
        <f>'Fuente total'!L46</f>
        <v>0.93</v>
      </c>
      <c r="H173" s="29">
        <v>0.93097142857142856</v>
      </c>
      <c r="I173" s="47">
        <v>1</v>
      </c>
      <c r="J173" s="47">
        <f t="shared" si="12"/>
        <v>0.92089714285714308</v>
      </c>
      <c r="K173" s="47">
        <f t="shared" si="13"/>
        <v>0.91988571428571453</v>
      </c>
      <c r="L173" s="47"/>
      <c r="M173" s="47"/>
    </row>
    <row r="174" spans="1:13" x14ac:dyDescent="0.25">
      <c r="A174" s="4" t="s">
        <v>88</v>
      </c>
      <c r="B174" s="3" t="s">
        <v>245</v>
      </c>
      <c r="C174" s="4" t="s">
        <v>124</v>
      </c>
      <c r="D174" s="27">
        <f>'Fuente total'!I47</f>
        <v>0.95</v>
      </c>
      <c r="E174" s="27">
        <f>'Fuente total'!J47</f>
        <v>0.95</v>
      </c>
      <c r="F174" s="27">
        <f>'Fuente total'!K47</f>
        <v>0.95</v>
      </c>
      <c r="G174" s="27">
        <f>'Fuente total'!L47</f>
        <v>0.88</v>
      </c>
      <c r="H174" s="29">
        <v>0.94299999999999995</v>
      </c>
      <c r="I174" s="47">
        <v>1</v>
      </c>
      <c r="J174" s="47">
        <f t="shared" si="12"/>
        <v>0.9304</v>
      </c>
      <c r="K174" s="47">
        <f t="shared" si="13"/>
        <v>0.93600000000000005</v>
      </c>
      <c r="L174" s="47"/>
      <c r="M174" s="47"/>
    </row>
    <row r="175" spans="1:13" x14ac:dyDescent="0.25">
      <c r="A175" s="4" t="s">
        <v>88</v>
      </c>
      <c r="B175" s="3" t="s">
        <v>164</v>
      </c>
      <c r="C175" s="4" t="s">
        <v>124</v>
      </c>
      <c r="D175" s="27">
        <f>'Fuente total'!I48</f>
        <v>0.92</v>
      </c>
      <c r="E175" s="27">
        <f>'Fuente total'!J48</f>
        <v>0.97</v>
      </c>
      <c r="F175" s="27">
        <f>'Fuente total'!K48</f>
        <v>0.95085714285714296</v>
      </c>
      <c r="G175" s="27">
        <f>'Fuente total'!L48</f>
        <v>0.95</v>
      </c>
      <c r="H175" s="29">
        <v>0.94608571428571431</v>
      </c>
      <c r="I175" s="47">
        <v>1</v>
      </c>
      <c r="J175" s="47">
        <f t="shared" si="12"/>
        <v>0.94850857142857148</v>
      </c>
      <c r="K175" s="47">
        <f t="shared" si="13"/>
        <v>0.94834285714285715</v>
      </c>
      <c r="L175" s="47"/>
      <c r="M175" s="47"/>
    </row>
    <row r="176" spans="1:13" x14ac:dyDescent="0.25">
      <c r="A176" s="4" t="s">
        <v>88</v>
      </c>
      <c r="B176" s="3" t="s">
        <v>241</v>
      </c>
      <c r="C176" s="4" t="s">
        <v>124</v>
      </c>
      <c r="D176" s="27">
        <f>'Fuente total'!I49</f>
        <v>0.91800000000000004</v>
      </c>
      <c r="E176" s="27">
        <f>'Fuente total'!J49</f>
        <v>0.91</v>
      </c>
      <c r="F176" s="27">
        <f>'Fuente total'!K49</f>
        <v>0.95782857142857103</v>
      </c>
      <c r="G176" s="27">
        <f>'Fuente total'!L49</f>
        <v>0.92</v>
      </c>
      <c r="H176" s="29">
        <v>0.91898285714285721</v>
      </c>
      <c r="I176" s="47">
        <v>1</v>
      </c>
      <c r="J176" s="47">
        <f t="shared" si="12"/>
        <v>0.93145828571428568</v>
      </c>
      <c r="K176" s="47">
        <f t="shared" si="13"/>
        <v>0.93273142857142854</v>
      </c>
      <c r="L176" s="47"/>
      <c r="M176" s="47"/>
    </row>
    <row r="177" spans="1:13" x14ac:dyDescent="0.25">
      <c r="A177" s="4" t="s">
        <v>88</v>
      </c>
      <c r="B177" s="3" t="s">
        <v>163</v>
      </c>
      <c r="C177" s="4" t="s">
        <v>124</v>
      </c>
      <c r="D177" s="27">
        <f>'Fuente total'!I50</f>
        <v>0.90885714285714303</v>
      </c>
      <c r="E177" s="27">
        <f>'Fuente total'!J50</f>
        <v>0.92</v>
      </c>
      <c r="F177" s="27">
        <f>'Fuente total'!K50</f>
        <v>0.96479999999999999</v>
      </c>
      <c r="G177" s="27">
        <f>'Fuente total'!L50</f>
        <v>0.91600000000000004</v>
      </c>
      <c r="H177" s="29">
        <v>0.9196228571428573</v>
      </c>
      <c r="I177" s="47">
        <v>1</v>
      </c>
      <c r="J177" s="47">
        <f t="shared" si="12"/>
        <v>0.93300228571428589</v>
      </c>
      <c r="K177" s="47">
        <f t="shared" si="13"/>
        <v>0.93489142857142871</v>
      </c>
      <c r="L177" s="47"/>
      <c r="M177" s="47"/>
    </row>
    <row r="178" spans="1:13" x14ac:dyDescent="0.25">
      <c r="A178" s="4" t="s">
        <v>88</v>
      </c>
      <c r="B178" s="3" t="s">
        <v>243</v>
      </c>
      <c r="C178" s="9" t="s">
        <v>129</v>
      </c>
      <c r="D178" s="28">
        <f>1-'Fuente total'!R32</f>
        <v>0.98129999999999995</v>
      </c>
      <c r="E178" s="28">
        <f>1-'Fuente total'!S32</f>
        <v>0.97970000000000013</v>
      </c>
      <c r="F178" s="28">
        <f>1-'Fuente total'!T32</f>
        <v>0.98109999999999997</v>
      </c>
      <c r="G178" s="28">
        <f>1-'Fuente total'!U32</f>
        <v>0.98029999999999995</v>
      </c>
      <c r="H178" s="29">
        <v>0.98053999999999997</v>
      </c>
      <c r="I178" s="47">
        <v>1</v>
      </c>
      <c r="J178" s="47">
        <f t="shared" si="12"/>
        <v>0.98065999999999998</v>
      </c>
      <c r="K178" s="47">
        <f t="shared" si="13"/>
        <v>0.98070000000000002</v>
      </c>
      <c r="L178" s="47"/>
      <c r="M178" s="47"/>
    </row>
    <row r="179" spans="1:13" x14ac:dyDescent="0.25">
      <c r="A179" s="4" t="s">
        <v>88</v>
      </c>
      <c r="B179" s="3" t="s">
        <v>240</v>
      </c>
      <c r="C179" s="9" t="s">
        <v>129</v>
      </c>
      <c r="D179" s="28">
        <f>1-'Fuente total'!R33</f>
        <v>0.97980000000000012</v>
      </c>
      <c r="E179" s="28">
        <f>1-'Fuente total'!S33</f>
        <v>0.98089999999999999</v>
      </c>
      <c r="F179" s="28">
        <f>1-'Fuente total'!T33</f>
        <v>0.97970000000000013</v>
      </c>
      <c r="G179" s="28">
        <f>1-'Fuente total'!U33</f>
        <v>0.97903333333333353</v>
      </c>
      <c r="H179" s="29">
        <v>0.98015333333333343</v>
      </c>
      <c r="I179" s="47">
        <v>1</v>
      </c>
      <c r="J179" s="47">
        <f t="shared" si="12"/>
        <v>0.97974733333333353</v>
      </c>
      <c r="K179" s="47">
        <f t="shared" si="13"/>
        <v>0.97982666666666685</v>
      </c>
      <c r="L179" s="47"/>
      <c r="M179" s="47"/>
    </row>
    <row r="180" spans="1:13" x14ac:dyDescent="0.25">
      <c r="A180" s="4" t="s">
        <v>88</v>
      </c>
      <c r="B180" s="3" t="s">
        <v>242</v>
      </c>
      <c r="C180" s="9" t="s">
        <v>129</v>
      </c>
      <c r="D180" s="28">
        <f>1-'Fuente total'!R34</f>
        <v>0.98019999999999996</v>
      </c>
      <c r="E180" s="28">
        <f>1-'Fuente total'!S34</f>
        <v>0.98040000000000005</v>
      </c>
      <c r="F180" s="28">
        <f>1-'Fuente total'!T34</f>
        <v>0.97830000000000017</v>
      </c>
      <c r="G180" s="28">
        <f>1-'Fuente total'!U34</f>
        <v>0.97960000000000014</v>
      </c>
      <c r="H180" s="29">
        <v>0.98003000000000018</v>
      </c>
      <c r="I180" s="47">
        <v>1</v>
      </c>
      <c r="J180" s="47">
        <f t="shared" si="12"/>
        <v>0.97938400000000025</v>
      </c>
      <c r="K180" s="47">
        <f t="shared" si="13"/>
        <v>0.97936000000000023</v>
      </c>
      <c r="L180" s="47"/>
      <c r="M180" s="47"/>
    </row>
    <row r="181" spans="1:13" x14ac:dyDescent="0.25">
      <c r="A181" s="4" t="s">
        <v>88</v>
      </c>
      <c r="B181" s="3" t="s">
        <v>244</v>
      </c>
      <c r="C181" s="9" t="s">
        <v>129</v>
      </c>
      <c r="D181" s="28">
        <f>1-'Fuente total'!R35</f>
        <v>0.97933333333333339</v>
      </c>
      <c r="E181" s="28">
        <f>1-'Fuente total'!S35</f>
        <v>0.98103333333333331</v>
      </c>
      <c r="F181" s="28">
        <f>1-'Fuente total'!T35</f>
        <v>0.97950000000000015</v>
      </c>
      <c r="G181" s="28">
        <f>1-'Fuente total'!U35</f>
        <v>0.97940000000000005</v>
      </c>
      <c r="H181" s="29">
        <v>0.98003666666666678</v>
      </c>
      <c r="I181" s="47">
        <v>1</v>
      </c>
      <c r="J181" s="47">
        <f t="shared" si="12"/>
        <v>0.97971800000000009</v>
      </c>
      <c r="K181" s="47">
        <f t="shared" si="13"/>
        <v>0.97975333333333348</v>
      </c>
      <c r="L181" s="47"/>
      <c r="M181" s="47"/>
    </row>
    <row r="182" spans="1:13" x14ac:dyDescent="0.25">
      <c r="A182" s="4" t="s">
        <v>88</v>
      </c>
      <c r="B182" s="3" t="s">
        <v>245</v>
      </c>
      <c r="C182" s="9" t="s">
        <v>129</v>
      </c>
      <c r="D182" s="28">
        <f>1-'Fuente total'!R36</f>
        <v>0.97878333333333345</v>
      </c>
      <c r="E182" s="28">
        <f>1-'Fuente total'!S36</f>
        <v>0.98099999999999998</v>
      </c>
      <c r="F182" s="28">
        <f>1-'Fuente total'!T36</f>
        <v>0.98019999999999996</v>
      </c>
      <c r="G182" s="28">
        <f>1-'Fuente total'!U36</f>
        <v>0.97930000000000006</v>
      </c>
      <c r="H182" s="29">
        <v>0.97986333333333353</v>
      </c>
      <c r="I182" s="47">
        <v>1</v>
      </c>
      <c r="J182" s="47">
        <f t="shared" si="12"/>
        <v>0.97983700000000007</v>
      </c>
      <c r="K182" s="47">
        <f t="shared" si="13"/>
        <v>0.97989666666666675</v>
      </c>
      <c r="L182" s="47"/>
      <c r="M182" s="47"/>
    </row>
    <row r="183" spans="1:13" x14ac:dyDescent="0.25">
      <c r="A183" s="4" t="s">
        <v>88</v>
      </c>
      <c r="B183" s="3" t="s">
        <v>164</v>
      </c>
      <c r="C183" s="9" t="s">
        <v>129</v>
      </c>
      <c r="D183" s="28">
        <f>1-'Fuente total'!R37</f>
        <v>0.98050000000000004</v>
      </c>
      <c r="E183" s="28">
        <f>1-'Fuente total'!S37</f>
        <v>0.9799000000000001</v>
      </c>
      <c r="F183" s="28">
        <f>1-'Fuente total'!T37</f>
        <v>0.98009999999999997</v>
      </c>
      <c r="G183" s="28">
        <f>1-'Fuente total'!U37</f>
        <v>0.98080000000000001</v>
      </c>
      <c r="H183" s="29">
        <v>0.98025000000000029</v>
      </c>
      <c r="I183" s="47">
        <v>1</v>
      </c>
      <c r="J183" s="47">
        <f t="shared" si="12"/>
        <v>0.98033200000000009</v>
      </c>
      <c r="K183" s="47">
        <f t="shared" si="13"/>
        <v>0.98028000000000015</v>
      </c>
      <c r="L183" s="47"/>
      <c r="M183" s="47"/>
    </row>
    <row r="184" spans="1:13" x14ac:dyDescent="0.25">
      <c r="A184" s="4" t="s">
        <v>88</v>
      </c>
      <c r="B184" s="3" t="s">
        <v>241</v>
      </c>
      <c r="C184" s="9" t="s">
        <v>129</v>
      </c>
      <c r="D184" s="28">
        <f>1-'Fuente total'!R38</f>
        <v>0.97920000000000007</v>
      </c>
      <c r="E184" s="28">
        <f>1-'Fuente total'!S38</f>
        <v>0.98070000000000002</v>
      </c>
      <c r="F184" s="28">
        <f>1-'Fuente total'!T38</f>
        <v>0.98119999999999996</v>
      </c>
      <c r="G184" s="28">
        <f>1-'Fuente total'!U38</f>
        <v>0.98065000000000002</v>
      </c>
      <c r="H184" s="29">
        <v>0.98014500000000004</v>
      </c>
      <c r="I184" s="47">
        <v>1</v>
      </c>
      <c r="J184" s="47">
        <f t="shared" si="12"/>
        <v>0.98059600000000002</v>
      </c>
      <c r="K184" s="47">
        <f t="shared" si="13"/>
        <v>0.98058999999999996</v>
      </c>
      <c r="L184" s="47"/>
      <c r="M184" s="47"/>
    </row>
    <row r="185" spans="1:13" x14ac:dyDescent="0.25">
      <c r="A185" s="4" t="s">
        <v>88</v>
      </c>
      <c r="B185" s="3" t="s">
        <v>163</v>
      </c>
      <c r="C185" s="9" t="s">
        <v>129</v>
      </c>
      <c r="D185" s="28">
        <f>1-'Fuente total'!R39</f>
        <v>0.98019999999999996</v>
      </c>
      <c r="E185" s="28">
        <f>1-'Fuente total'!S39</f>
        <v>0.98019999999999996</v>
      </c>
      <c r="F185" s="28">
        <f>1-'Fuente total'!T39</f>
        <v>0.98</v>
      </c>
      <c r="G185" s="28">
        <f>1-'Fuente total'!U39</f>
        <v>0.98060000000000003</v>
      </c>
      <c r="H185" s="29">
        <v>0.98021999999999998</v>
      </c>
      <c r="I185" s="47">
        <v>1</v>
      </c>
      <c r="J185" s="47">
        <f t="shared" si="12"/>
        <v>0.98024</v>
      </c>
      <c r="K185" s="47">
        <f t="shared" si="13"/>
        <v>0.98019999999999996</v>
      </c>
      <c r="L185" s="47"/>
      <c r="M185" s="47"/>
    </row>
    <row r="186" spans="1:13" x14ac:dyDescent="0.25">
      <c r="A186" s="4" t="s">
        <v>88</v>
      </c>
      <c r="B186" s="3" t="s">
        <v>243</v>
      </c>
      <c r="C186" s="9" t="s">
        <v>168</v>
      </c>
      <c r="D186" s="47">
        <f>'Fuente total'!$A$54/'Fuente total'!$B$54</f>
        <v>0.30769230769230771</v>
      </c>
      <c r="E186" s="47">
        <f>'Fuente total'!$A$54/'Fuente total'!$B$54</f>
        <v>0.30769230769230771</v>
      </c>
      <c r="F186" s="47">
        <f>'Fuente total'!$A$54/'Fuente total'!$B$54</f>
        <v>0.30769230769230771</v>
      </c>
      <c r="G186" s="47">
        <f>'Fuente total'!$A$54/'Fuente total'!$B$54</f>
        <v>0.30769230769230771</v>
      </c>
      <c r="H186" s="29">
        <v>0.30769230769230771</v>
      </c>
      <c r="I186" s="47">
        <v>0.4</v>
      </c>
      <c r="J186" s="47">
        <f t="shared" si="12"/>
        <v>0.30769230769230771</v>
      </c>
      <c r="K186" s="47">
        <f>'Fuente total'!$A$54/'Fuente total'!$B$54</f>
        <v>0.30769230769230771</v>
      </c>
      <c r="L186" s="11"/>
      <c r="M186" s="11"/>
    </row>
    <row r="187" spans="1:13" x14ac:dyDescent="0.25">
      <c r="A187" s="4" t="s">
        <v>88</v>
      </c>
      <c r="B187" s="3" t="s">
        <v>240</v>
      </c>
      <c r="C187" s="9" t="s">
        <v>168</v>
      </c>
      <c r="D187" s="47">
        <f>'Fuente total'!$A$55/'Fuente total'!$B$55</f>
        <v>0.13068181818181818</v>
      </c>
      <c r="E187" s="47">
        <f>'Fuente total'!$A$55/'Fuente total'!$B$55</f>
        <v>0.13068181818181818</v>
      </c>
      <c r="F187" s="47">
        <f>'Fuente total'!$A$55/'Fuente total'!$B$55</f>
        <v>0.13068181818181818</v>
      </c>
      <c r="G187" s="47">
        <f>'Fuente total'!$A$55/'Fuente total'!$B$55</f>
        <v>0.13068181818181818</v>
      </c>
      <c r="H187" s="29">
        <v>0.13068181818181818</v>
      </c>
      <c r="I187" s="47">
        <v>0.16988636363636361</v>
      </c>
      <c r="J187" s="47">
        <f t="shared" si="12"/>
        <v>0.13068181818181818</v>
      </c>
      <c r="K187" s="47">
        <f>'Fuente total'!$A$55/'Fuente total'!$B$55</f>
        <v>0.13068181818181818</v>
      </c>
      <c r="L187" s="11"/>
      <c r="M187" s="11"/>
    </row>
    <row r="188" spans="1:13" x14ac:dyDescent="0.25">
      <c r="A188" s="4" t="s">
        <v>88</v>
      </c>
      <c r="B188" s="3" t="s">
        <v>242</v>
      </c>
      <c r="C188" s="9" t="s">
        <v>168</v>
      </c>
      <c r="D188" s="47">
        <f>'Fuente total'!$A$56/'Fuente total'!$B$56</f>
        <v>0.36585365853658536</v>
      </c>
      <c r="E188" s="47">
        <f>'Fuente total'!$A$56/'Fuente total'!$B$56</f>
        <v>0.36585365853658536</v>
      </c>
      <c r="F188" s="47">
        <f>'Fuente total'!$A$56/'Fuente total'!$B$56</f>
        <v>0.36585365853658536</v>
      </c>
      <c r="G188" s="47">
        <f>'Fuente total'!$A$56/'Fuente total'!$B$56</f>
        <v>0.36585365853658536</v>
      </c>
      <c r="H188" s="29">
        <v>0.3658536585365853</v>
      </c>
      <c r="I188" s="47">
        <v>0.47560975609756095</v>
      </c>
      <c r="J188" s="47">
        <f t="shared" si="12"/>
        <v>0.36585365853658536</v>
      </c>
      <c r="K188" s="47">
        <f>'Fuente total'!$A$56/'Fuente total'!$B$56</f>
        <v>0.36585365853658536</v>
      </c>
      <c r="L188" s="11"/>
      <c r="M188" s="11"/>
    </row>
    <row r="189" spans="1:13" x14ac:dyDescent="0.25">
      <c r="A189" s="4" t="s">
        <v>88</v>
      </c>
      <c r="B189" s="3" t="s">
        <v>244</v>
      </c>
      <c r="C189" s="9" t="s">
        <v>168</v>
      </c>
      <c r="D189" s="47">
        <f>'Fuente total'!$A$57/'Fuente total'!$B$57</f>
        <v>0.30056179775280845</v>
      </c>
      <c r="E189" s="47">
        <f>'Fuente total'!$A$57/'Fuente total'!$B$57</f>
        <v>0.30056179775280845</v>
      </c>
      <c r="F189" s="47">
        <f>'Fuente total'!$A$57/'Fuente total'!$B$57</f>
        <v>0.30056179775280845</v>
      </c>
      <c r="G189" s="47">
        <f>'Fuente total'!$A$57/'Fuente total'!$B$57</f>
        <v>0.30056179775280845</v>
      </c>
      <c r="H189" s="29">
        <v>0.30056179775280845</v>
      </c>
      <c r="I189" s="47">
        <v>0.39073033707865101</v>
      </c>
      <c r="J189" s="47">
        <f t="shared" si="12"/>
        <v>0.30056179775280845</v>
      </c>
      <c r="K189" s="47">
        <f>'Fuente total'!$A$57/'Fuente total'!$B$57</f>
        <v>0.30056179775280845</v>
      </c>
      <c r="L189" s="11"/>
      <c r="M189" s="11"/>
    </row>
    <row r="190" spans="1:13" x14ac:dyDescent="0.25">
      <c r="A190" s="4" t="s">
        <v>88</v>
      </c>
      <c r="B190" s="3" t="s">
        <v>245</v>
      </c>
      <c r="C190" s="9" t="s">
        <v>168</v>
      </c>
      <c r="D190" s="47">
        <f>'Fuente total'!$A$58/'Fuente total'!$B$58</f>
        <v>0.33442088091353922</v>
      </c>
      <c r="E190" s="47">
        <f>'Fuente total'!$A$58/'Fuente total'!$B$58</f>
        <v>0.33442088091353922</v>
      </c>
      <c r="F190" s="47">
        <f>'Fuente total'!$A$58/'Fuente total'!$B$58</f>
        <v>0.33442088091353922</v>
      </c>
      <c r="G190" s="47">
        <f>'Fuente total'!$A$58/'Fuente total'!$B$58</f>
        <v>0.33442088091353922</v>
      </c>
      <c r="H190" s="29">
        <v>0.33442088091353922</v>
      </c>
      <c r="I190" s="47">
        <v>0.43474714518760105</v>
      </c>
      <c r="J190" s="47">
        <f t="shared" si="12"/>
        <v>0.33442088091353922</v>
      </c>
      <c r="K190" s="47">
        <f>'Fuente total'!$A$58/'Fuente total'!$B$58</f>
        <v>0.33442088091353922</v>
      </c>
      <c r="L190" s="11"/>
      <c r="M190" s="11"/>
    </row>
    <row r="191" spans="1:13" x14ac:dyDescent="0.25">
      <c r="A191" s="4" t="s">
        <v>88</v>
      </c>
      <c r="B191" s="3" t="s">
        <v>164</v>
      </c>
      <c r="C191" s="9" t="s">
        <v>168</v>
      </c>
      <c r="D191" s="47">
        <f>'Fuente total'!$A$59/'Fuente total'!$B$59</f>
        <v>0.31724137931034485</v>
      </c>
      <c r="E191" s="47">
        <f>'Fuente total'!$A$59/'Fuente total'!$B$59</f>
        <v>0.31724137931034485</v>
      </c>
      <c r="F191" s="47">
        <f>'Fuente total'!$A$59/'Fuente total'!$B$59</f>
        <v>0.31724137931034485</v>
      </c>
      <c r="G191" s="47">
        <f>'Fuente total'!$A$59/'Fuente total'!$B$59</f>
        <v>0.31724137931034485</v>
      </c>
      <c r="H191" s="29">
        <v>0.3172413793103448</v>
      </c>
      <c r="I191" s="47">
        <v>0.41241379310344828</v>
      </c>
      <c r="J191" s="47">
        <f t="shared" si="12"/>
        <v>0.31724137931034485</v>
      </c>
      <c r="K191" s="47">
        <f>'Fuente total'!$A$59/'Fuente total'!$B$59</f>
        <v>0.31724137931034485</v>
      </c>
      <c r="L191" s="11"/>
      <c r="M191" s="11"/>
    </row>
    <row r="192" spans="1:13" x14ac:dyDescent="0.25">
      <c r="A192" s="4" t="s">
        <v>88</v>
      </c>
      <c r="B192" s="3" t="s">
        <v>241</v>
      </c>
      <c r="C192" s="9" t="s">
        <v>168</v>
      </c>
      <c r="D192" s="47">
        <f>'Fuente total'!$A$60/'Fuente total'!$B$60</f>
        <v>0.45060240963855447</v>
      </c>
      <c r="E192" s="47">
        <f>'Fuente total'!$A$60/'Fuente total'!$B$60</f>
        <v>0.45060240963855447</v>
      </c>
      <c r="F192" s="47">
        <f>'Fuente total'!$A$60/'Fuente total'!$B$60</f>
        <v>0.45060240963855447</v>
      </c>
      <c r="G192" s="47">
        <f>'Fuente total'!$A$60/'Fuente total'!$B$60</f>
        <v>0.45060240963855447</v>
      </c>
      <c r="H192" s="29">
        <v>0.45060240963855452</v>
      </c>
      <c r="I192" s="47">
        <v>0.58578313253012082</v>
      </c>
      <c r="J192" s="47">
        <f t="shared" si="12"/>
        <v>0.45060240963855447</v>
      </c>
      <c r="K192" s="47">
        <f>'Fuente total'!$A$60/'Fuente total'!$B$60</f>
        <v>0.45060240963855447</v>
      </c>
      <c r="L192" s="11"/>
      <c r="M192" s="11"/>
    </row>
    <row r="193" spans="1:13" x14ac:dyDescent="0.25">
      <c r="A193" s="4" t="s">
        <v>88</v>
      </c>
      <c r="B193" s="3" t="s">
        <v>163</v>
      </c>
      <c r="C193" s="9" t="s">
        <v>168</v>
      </c>
      <c r="D193" s="47">
        <f>'Fuente total'!$A$61/'Fuente total'!$B$61</f>
        <v>0.45304878048780395</v>
      </c>
      <c r="E193" s="47">
        <f>'Fuente total'!$A$61/'Fuente total'!$B$61</f>
        <v>0.45304878048780395</v>
      </c>
      <c r="F193" s="47">
        <f>'Fuente total'!$A$61/'Fuente total'!$B$61</f>
        <v>0.45304878048780395</v>
      </c>
      <c r="G193" s="47">
        <f>'Fuente total'!$A$61/'Fuente total'!$B$61</f>
        <v>0.45304878048780395</v>
      </c>
      <c r="H193" s="29">
        <v>0.453048780487804</v>
      </c>
      <c r="I193" s="47">
        <v>0.58896341463414514</v>
      </c>
      <c r="J193" s="47">
        <f t="shared" si="12"/>
        <v>0.45304878048780395</v>
      </c>
      <c r="K193" s="47">
        <f>'Fuente total'!$A$61/'Fuente total'!$B$61</f>
        <v>0.45304878048780395</v>
      </c>
      <c r="L193" s="11"/>
      <c r="M193" s="11"/>
    </row>
    <row r="194" spans="1:13" x14ac:dyDescent="0.25">
      <c r="A194" s="4" t="s">
        <v>89</v>
      </c>
      <c r="B194" s="3" t="s">
        <v>243</v>
      </c>
      <c r="C194" s="9" t="s">
        <v>90</v>
      </c>
      <c r="D194" s="8">
        <f>'Fuente total'!B32</f>
        <v>22749579</v>
      </c>
      <c r="E194" s="8">
        <f>'Fuente total'!C32</f>
        <v>29574440</v>
      </c>
      <c r="F194" s="8">
        <f>'Fuente total'!D32</f>
        <v>34124350</v>
      </c>
      <c r="G194" s="8">
        <f>'Fuente total'!E32</f>
        <v>21849398</v>
      </c>
      <c r="H194" s="61">
        <v>26526982.400000002</v>
      </c>
      <c r="I194" s="8">
        <v>34399315.100000001</v>
      </c>
      <c r="J194" s="8">
        <f t="shared" si="12"/>
        <v>27820920.860000003</v>
      </c>
      <c r="K194" s="8">
        <f t="shared" ref="K194:K225" si="14">(D194*0.2)+(E194*0.2)+(F194*0.4)+(G194*0.2)</f>
        <v>28484423.400000002</v>
      </c>
      <c r="L194" s="11"/>
      <c r="M194" s="11"/>
    </row>
    <row r="195" spans="1:13" x14ac:dyDescent="0.25">
      <c r="A195" s="4" t="s">
        <v>89</v>
      </c>
      <c r="B195" s="3" t="s">
        <v>240</v>
      </c>
      <c r="C195" s="9" t="s">
        <v>90</v>
      </c>
      <c r="D195" s="8">
        <f>'Fuente total'!B33</f>
        <v>21232932</v>
      </c>
      <c r="E195" s="8">
        <f>'Fuente total'!C33</f>
        <v>27602811</v>
      </c>
      <c r="F195" s="8">
        <f>'Fuente total'!D33</f>
        <v>31849390</v>
      </c>
      <c r="G195" s="8">
        <f>'Fuente total'!E33</f>
        <v>29726100</v>
      </c>
      <c r="H195" s="61">
        <v>25691846.200000003</v>
      </c>
      <c r="I195" s="8">
        <v>33972688.399999999</v>
      </c>
      <c r="J195" s="8">
        <f t="shared" si="12"/>
        <v>28579522.140000001</v>
      </c>
      <c r="K195" s="8">
        <f t="shared" si="14"/>
        <v>28452124.600000001</v>
      </c>
      <c r="L195" s="11"/>
      <c r="M195" s="11"/>
    </row>
    <row r="196" spans="1:13" x14ac:dyDescent="0.25">
      <c r="A196" s="4" t="s">
        <v>89</v>
      </c>
      <c r="B196" s="3" t="s">
        <v>242</v>
      </c>
      <c r="C196" s="9" t="s">
        <v>90</v>
      </c>
      <c r="D196" s="8">
        <f>'Fuente total'!B34</f>
        <v>909982.79999999993</v>
      </c>
      <c r="E196" s="8">
        <f>'Fuente total'!C34</f>
        <v>545989.67999999993</v>
      </c>
      <c r="F196" s="8">
        <f>'Fuente total'!D34</f>
        <v>545989.67999999993</v>
      </c>
      <c r="G196" s="8">
        <f>'Fuente total'!E34</f>
        <v>545989.67999999993</v>
      </c>
      <c r="H196" s="61">
        <v>691586.92799999996</v>
      </c>
      <c r="I196" s="8">
        <v>891783.14399999985</v>
      </c>
      <c r="J196" s="8">
        <f t="shared" si="12"/>
        <v>611508.44160000002</v>
      </c>
      <c r="K196" s="8">
        <f t="shared" si="14"/>
        <v>618788.304</v>
      </c>
      <c r="L196" s="11"/>
      <c r="M196" s="11"/>
    </row>
    <row r="197" spans="1:13" x14ac:dyDescent="0.25">
      <c r="A197" s="4" t="s">
        <v>89</v>
      </c>
      <c r="B197" s="3" t="s">
        <v>244</v>
      </c>
      <c r="C197" s="9" t="s">
        <v>90</v>
      </c>
      <c r="D197" s="8">
        <f>'Fuente total'!B35</f>
        <v>2274957</v>
      </c>
      <c r="E197" s="8">
        <f>'Fuente total'!C35</f>
        <v>1364974.2</v>
      </c>
      <c r="F197" s="8">
        <f>'Fuente total'!D35</f>
        <v>1364974.2</v>
      </c>
      <c r="G197" s="8">
        <f>'Fuente total'!E35</f>
        <v>1364974.2</v>
      </c>
      <c r="H197" s="61">
        <v>1728967.3199999998</v>
      </c>
      <c r="I197" s="8">
        <v>2229457.8600000003</v>
      </c>
      <c r="J197" s="8">
        <f t="shared" si="12"/>
        <v>1528771.1040000001</v>
      </c>
      <c r="K197" s="8">
        <f t="shared" si="14"/>
        <v>1546970.76</v>
      </c>
      <c r="L197" s="11"/>
      <c r="M197" s="11"/>
    </row>
    <row r="198" spans="1:13" x14ac:dyDescent="0.25">
      <c r="A198" s="4" t="s">
        <v>89</v>
      </c>
      <c r="B198" s="3" t="s">
        <v>245</v>
      </c>
      <c r="C198" s="9" t="s">
        <v>90</v>
      </c>
      <c r="D198" s="8">
        <f>'Fuente total'!B36</f>
        <v>1213310.4000000001</v>
      </c>
      <c r="E198" s="8">
        <f>'Fuente total'!C36</f>
        <v>727986.24000000011</v>
      </c>
      <c r="F198" s="8">
        <f>'Fuente total'!D36</f>
        <v>727986.24000000011</v>
      </c>
      <c r="G198" s="8">
        <f>'Fuente total'!E36</f>
        <v>727986.24000000011</v>
      </c>
      <c r="H198" s="61">
        <v>922115.90400000033</v>
      </c>
      <c r="I198" s="8">
        <v>1189044.1920000003</v>
      </c>
      <c r="J198" s="8">
        <f t="shared" si="12"/>
        <v>815344.58880000014</v>
      </c>
      <c r="K198" s="8">
        <f t="shared" si="14"/>
        <v>825051.07200000016</v>
      </c>
      <c r="L198" s="11"/>
      <c r="M198" s="11"/>
    </row>
    <row r="199" spans="1:13" x14ac:dyDescent="0.25">
      <c r="A199" s="4" t="s">
        <v>89</v>
      </c>
      <c r="B199" s="3" t="s">
        <v>164</v>
      </c>
      <c r="C199" s="9" t="s">
        <v>90</v>
      </c>
      <c r="D199" s="8">
        <f>'Fuente total'!B37</f>
        <v>1516638</v>
      </c>
      <c r="E199" s="8">
        <f>'Fuente total'!C37</f>
        <v>1971629.4000000001</v>
      </c>
      <c r="F199" s="8">
        <f>'Fuente total'!D37</f>
        <v>2274957</v>
      </c>
      <c r="G199" s="8">
        <f>'Fuente total'!E37</f>
        <v>2123293.1999999997</v>
      </c>
      <c r="H199" s="61">
        <v>1835131.9800000002</v>
      </c>
      <c r="I199" s="8">
        <v>2426620.8000000003</v>
      </c>
      <c r="J199" s="8">
        <f t="shared" si="12"/>
        <v>2041394.7480000001</v>
      </c>
      <c r="K199" s="8">
        <f t="shared" si="14"/>
        <v>2032294.9200000002</v>
      </c>
      <c r="L199" s="11"/>
      <c r="M199" s="11"/>
    </row>
    <row r="200" spans="1:13" x14ac:dyDescent="0.25">
      <c r="A200" s="4" t="s">
        <v>89</v>
      </c>
      <c r="B200" s="3" t="s">
        <v>241</v>
      </c>
      <c r="C200" s="9" t="s">
        <v>90</v>
      </c>
      <c r="D200" s="8">
        <f>'Fuente total'!B38</f>
        <v>1289142.3</v>
      </c>
      <c r="E200" s="8">
        <f>'Fuente total'!C38</f>
        <v>773485.38</v>
      </c>
      <c r="F200" s="8">
        <f>'Fuente total'!D38</f>
        <v>773485.38</v>
      </c>
      <c r="G200" s="8">
        <f>'Fuente total'!E38</f>
        <v>773485.38</v>
      </c>
      <c r="H200" s="61">
        <v>979748.14800000004</v>
      </c>
      <c r="I200" s="8">
        <v>1263359.4539999999</v>
      </c>
      <c r="J200" s="8">
        <f t="shared" si="12"/>
        <v>866303.62560000003</v>
      </c>
      <c r="K200" s="8">
        <f t="shared" si="14"/>
        <v>876616.76400000008</v>
      </c>
      <c r="L200" s="11"/>
      <c r="M200" s="11"/>
    </row>
    <row r="201" spans="1:13" x14ac:dyDescent="0.25">
      <c r="A201" s="4" t="s">
        <v>89</v>
      </c>
      <c r="B201" s="3" t="s">
        <v>163</v>
      </c>
      <c r="C201" s="9" t="s">
        <v>90</v>
      </c>
      <c r="D201" s="8">
        <f>'Fuente total'!B39</f>
        <v>606655.20000000007</v>
      </c>
      <c r="E201" s="8">
        <f>'Fuente total'!C39</f>
        <v>363993.12000000005</v>
      </c>
      <c r="F201" s="8">
        <f>'Fuente total'!D39</f>
        <v>363993.12000000005</v>
      </c>
      <c r="G201" s="8">
        <f>'Fuente total'!E39</f>
        <v>363993.12000000005</v>
      </c>
      <c r="H201" s="61">
        <v>461057.95200000016</v>
      </c>
      <c r="I201" s="8">
        <v>594522.09600000014</v>
      </c>
      <c r="J201" s="8">
        <f t="shared" si="12"/>
        <v>407672.29440000007</v>
      </c>
      <c r="K201" s="8">
        <f t="shared" si="14"/>
        <v>412525.53600000008</v>
      </c>
      <c r="L201" s="11"/>
      <c r="M201" s="11"/>
    </row>
    <row r="202" spans="1:13" x14ac:dyDescent="0.25">
      <c r="A202" s="4" t="s">
        <v>89</v>
      </c>
      <c r="B202" s="3" t="s">
        <v>243</v>
      </c>
      <c r="C202" s="9" t="s">
        <v>169</v>
      </c>
      <c r="D202" s="8">
        <f t="shared" ref="D202:G209" si="15">D194/299</f>
        <v>76085.548494983275</v>
      </c>
      <c r="E202" s="8">
        <f t="shared" si="15"/>
        <v>98911.17056856188</v>
      </c>
      <c r="F202" s="8">
        <f t="shared" si="15"/>
        <v>114128.26086956522</v>
      </c>
      <c r="G202" s="8">
        <f t="shared" si="15"/>
        <v>73074.909698996649</v>
      </c>
      <c r="H202" s="61">
        <v>88719.004682274259</v>
      </c>
      <c r="I202" s="8">
        <v>115047.87658862876</v>
      </c>
      <c r="J202" s="8">
        <f t="shared" si="12"/>
        <v>93046.558060200667</v>
      </c>
      <c r="K202" s="8">
        <f t="shared" si="14"/>
        <v>95265.630100334442</v>
      </c>
      <c r="L202" s="11"/>
      <c r="M202" s="11"/>
    </row>
    <row r="203" spans="1:13" x14ac:dyDescent="0.25">
      <c r="A203" s="4" t="s">
        <v>89</v>
      </c>
      <c r="B203" s="3" t="s">
        <v>240</v>
      </c>
      <c r="C203" s="9" t="s">
        <v>169</v>
      </c>
      <c r="D203" s="8">
        <f t="shared" si="15"/>
        <v>71013.150501672237</v>
      </c>
      <c r="E203" s="8">
        <f t="shared" si="15"/>
        <v>92317.093645484943</v>
      </c>
      <c r="F203" s="8">
        <f t="shared" si="15"/>
        <v>106519.69899665551</v>
      </c>
      <c r="G203" s="8">
        <f t="shared" si="15"/>
        <v>99418.394648829431</v>
      </c>
      <c r="H203" s="61">
        <v>85925.907023411375</v>
      </c>
      <c r="I203" s="8">
        <v>113621.03143812707</v>
      </c>
      <c r="J203" s="8">
        <f t="shared" ref="J203:J230" si="16">K203+$Q$2*(G203-K203)</f>
        <v>95583.686086956513</v>
      </c>
      <c r="K203" s="8">
        <f t="shared" si="14"/>
        <v>95157.607357859524</v>
      </c>
      <c r="L203" s="11"/>
      <c r="M203" s="11"/>
    </row>
    <row r="204" spans="1:13" x14ac:dyDescent="0.25">
      <c r="A204" s="4" t="s">
        <v>89</v>
      </c>
      <c r="B204" s="3" t="s">
        <v>242</v>
      </c>
      <c r="C204" s="9" t="s">
        <v>169</v>
      </c>
      <c r="D204" s="8">
        <f t="shared" si="15"/>
        <v>3043.4207357859527</v>
      </c>
      <c r="E204" s="8">
        <f t="shared" si="15"/>
        <v>1826.0524414715717</v>
      </c>
      <c r="F204" s="8">
        <f t="shared" si="15"/>
        <v>1826.0524414715717</v>
      </c>
      <c r="G204" s="8">
        <f t="shared" si="15"/>
        <v>1826.0524414715717</v>
      </c>
      <c r="H204" s="61">
        <v>2312.9997591973238</v>
      </c>
      <c r="I204" s="8">
        <v>2982.552321070234</v>
      </c>
      <c r="J204" s="8">
        <f t="shared" si="16"/>
        <v>2045.1787344481604</v>
      </c>
      <c r="K204" s="8">
        <f t="shared" si="14"/>
        <v>2069.5261003344481</v>
      </c>
      <c r="L204" s="11"/>
      <c r="M204" s="11"/>
    </row>
    <row r="205" spans="1:13" x14ac:dyDescent="0.25">
      <c r="A205" s="4" t="s">
        <v>89</v>
      </c>
      <c r="B205" s="3" t="s">
        <v>244</v>
      </c>
      <c r="C205" s="9" t="s">
        <v>169</v>
      </c>
      <c r="D205" s="8">
        <f t="shared" si="15"/>
        <v>7608.5518394648825</v>
      </c>
      <c r="E205" s="8">
        <f t="shared" si="15"/>
        <v>4565.1311036789293</v>
      </c>
      <c r="F205" s="8">
        <f t="shared" si="15"/>
        <v>4565.1311036789293</v>
      </c>
      <c r="G205" s="8">
        <f t="shared" si="15"/>
        <v>4565.1311036789293</v>
      </c>
      <c r="H205" s="61">
        <v>5782.4993979933115</v>
      </c>
      <c r="I205" s="8">
        <v>7456.3808026755851</v>
      </c>
      <c r="J205" s="8">
        <f t="shared" si="16"/>
        <v>5112.9468361204008</v>
      </c>
      <c r="K205" s="8">
        <f t="shared" si="14"/>
        <v>5173.81525083612</v>
      </c>
      <c r="L205" s="11"/>
      <c r="M205" s="11"/>
    </row>
    <row r="206" spans="1:13" x14ac:dyDescent="0.25">
      <c r="A206" s="4" t="s">
        <v>89</v>
      </c>
      <c r="B206" s="3" t="s">
        <v>245</v>
      </c>
      <c r="C206" s="9" t="s">
        <v>169</v>
      </c>
      <c r="D206" s="8">
        <f t="shared" si="15"/>
        <v>4057.8943143812712</v>
      </c>
      <c r="E206" s="8">
        <f t="shared" si="15"/>
        <v>2434.736588628763</v>
      </c>
      <c r="F206" s="8">
        <f t="shared" si="15"/>
        <v>2434.736588628763</v>
      </c>
      <c r="G206" s="8">
        <f t="shared" si="15"/>
        <v>2434.736588628763</v>
      </c>
      <c r="H206" s="61">
        <v>3083.9996789297661</v>
      </c>
      <c r="I206" s="8">
        <v>3976.7364280936463</v>
      </c>
      <c r="J206" s="8">
        <f t="shared" si="16"/>
        <v>2726.9049792642149</v>
      </c>
      <c r="K206" s="8">
        <f t="shared" si="14"/>
        <v>2759.368133779265</v>
      </c>
      <c r="L206" s="11"/>
      <c r="M206" s="11"/>
    </row>
    <row r="207" spans="1:13" x14ac:dyDescent="0.25">
      <c r="A207" s="4" t="s">
        <v>89</v>
      </c>
      <c r="B207" s="3" t="s">
        <v>164</v>
      </c>
      <c r="C207" s="9" t="s">
        <v>169</v>
      </c>
      <c r="D207" s="8">
        <f t="shared" si="15"/>
        <v>5072.3678929765883</v>
      </c>
      <c r="E207" s="8">
        <f t="shared" si="15"/>
        <v>6594.0782608695654</v>
      </c>
      <c r="F207" s="8">
        <f t="shared" si="15"/>
        <v>7608.5518394648825</v>
      </c>
      <c r="G207" s="8">
        <f t="shared" si="15"/>
        <v>7101.3150501672235</v>
      </c>
      <c r="H207" s="61">
        <v>6137.5651505016722</v>
      </c>
      <c r="I207" s="8">
        <v>8115.7886287625406</v>
      </c>
      <c r="J207" s="8">
        <f t="shared" si="16"/>
        <v>6827.4071839464877</v>
      </c>
      <c r="K207" s="8">
        <f t="shared" si="14"/>
        <v>6796.9729765886286</v>
      </c>
      <c r="L207" s="11"/>
      <c r="M207" s="11"/>
    </row>
    <row r="208" spans="1:13" x14ac:dyDescent="0.25">
      <c r="A208" s="4" t="s">
        <v>89</v>
      </c>
      <c r="B208" s="3" t="s">
        <v>241</v>
      </c>
      <c r="C208" s="9" t="s">
        <v>169</v>
      </c>
      <c r="D208" s="8">
        <f t="shared" si="15"/>
        <v>4311.5127090301003</v>
      </c>
      <c r="E208" s="8">
        <f t="shared" si="15"/>
        <v>2586.9076254180604</v>
      </c>
      <c r="F208" s="8">
        <f t="shared" si="15"/>
        <v>2586.9076254180604</v>
      </c>
      <c r="G208" s="8">
        <f t="shared" si="15"/>
        <v>2586.9076254180604</v>
      </c>
      <c r="H208" s="61">
        <v>3276.7496588628769</v>
      </c>
      <c r="I208" s="8">
        <v>4225.2824548494991</v>
      </c>
      <c r="J208" s="8">
        <f t="shared" si="16"/>
        <v>2897.3365404682281</v>
      </c>
      <c r="K208" s="8">
        <f t="shared" si="14"/>
        <v>2931.8286421404691</v>
      </c>
      <c r="L208" s="11"/>
      <c r="M208" s="11"/>
    </row>
    <row r="209" spans="1:13" x14ac:dyDescent="0.25">
      <c r="A209" s="4" t="s">
        <v>89</v>
      </c>
      <c r="B209" s="3" t="s">
        <v>163</v>
      </c>
      <c r="C209" s="9" t="s">
        <v>169</v>
      </c>
      <c r="D209" s="8">
        <f t="shared" si="15"/>
        <v>2028.9471571906356</v>
      </c>
      <c r="E209" s="8">
        <f t="shared" si="15"/>
        <v>1217.3682943143815</v>
      </c>
      <c r="F209" s="8">
        <f t="shared" si="15"/>
        <v>1217.3682943143815</v>
      </c>
      <c r="G209" s="8">
        <f t="shared" si="15"/>
        <v>1217.3682943143815</v>
      </c>
      <c r="H209" s="61">
        <v>1541.9998394648831</v>
      </c>
      <c r="I209" s="8">
        <v>1988.3682140468231</v>
      </c>
      <c r="J209" s="8">
        <f t="shared" si="16"/>
        <v>1363.4524896321075</v>
      </c>
      <c r="K209" s="8">
        <f t="shared" si="14"/>
        <v>1379.6840668896325</v>
      </c>
      <c r="L209" s="11"/>
      <c r="M209" s="11"/>
    </row>
    <row r="210" spans="1:13" x14ac:dyDescent="0.25">
      <c r="A210" s="4" t="s">
        <v>89</v>
      </c>
      <c r="B210" s="3" t="s">
        <v>243</v>
      </c>
      <c r="C210" s="9" t="s">
        <v>95</v>
      </c>
      <c r="D210" s="8">
        <f>'Fuente total'!AH2</f>
        <v>15924705.299999999</v>
      </c>
      <c r="E210" s="8">
        <f>'Fuente total'!AI2</f>
        <v>20702108</v>
      </c>
      <c r="F210" s="8">
        <f>'Fuente total'!AJ2</f>
        <v>23887045</v>
      </c>
      <c r="G210" s="8">
        <f>'Fuente total'!AK2</f>
        <v>15294578.6</v>
      </c>
      <c r="H210" s="61">
        <v>18568887.68</v>
      </c>
      <c r="I210" s="8">
        <v>24079520.57</v>
      </c>
      <c r="J210" s="8">
        <f t="shared" si="16"/>
        <v>19474644.601999998</v>
      </c>
      <c r="K210" s="8">
        <f t="shared" si="14"/>
        <v>19939096.379999999</v>
      </c>
      <c r="L210" s="10"/>
      <c r="M210" s="10"/>
    </row>
    <row r="211" spans="1:13" x14ac:dyDescent="0.25">
      <c r="A211" s="4" t="s">
        <v>89</v>
      </c>
      <c r="B211" s="3" t="s">
        <v>240</v>
      </c>
      <c r="C211" s="9" t="s">
        <v>95</v>
      </c>
      <c r="D211" s="8">
        <f>'Fuente total'!AH3</f>
        <v>14863052.399999999</v>
      </c>
      <c r="E211" s="8">
        <f>'Fuente total'!AI3</f>
        <v>19321967.699999999</v>
      </c>
      <c r="F211" s="8">
        <f>'Fuente total'!AJ3</f>
        <v>22294573</v>
      </c>
      <c r="G211" s="8">
        <f>'Fuente total'!AK3</f>
        <v>20808270</v>
      </c>
      <c r="H211" s="61">
        <v>17984292.34</v>
      </c>
      <c r="I211" s="8">
        <v>23780881.879999999</v>
      </c>
      <c r="J211" s="8">
        <f t="shared" si="16"/>
        <v>20005665.498</v>
      </c>
      <c r="K211" s="8">
        <f t="shared" si="14"/>
        <v>19916487.219999999</v>
      </c>
      <c r="L211" s="10"/>
      <c r="M211" s="10"/>
    </row>
    <row r="212" spans="1:13" x14ac:dyDescent="0.25">
      <c r="A212" s="4" t="s">
        <v>89</v>
      </c>
      <c r="B212" s="3" t="s">
        <v>242</v>
      </c>
      <c r="C212" s="9" t="s">
        <v>95</v>
      </c>
      <c r="D212" s="8">
        <f>'Fuente total'!AH4</f>
        <v>636987.96</v>
      </c>
      <c r="E212" s="8">
        <f>'Fuente total'!AI4</f>
        <v>382192.77599999995</v>
      </c>
      <c r="F212" s="8">
        <f>'Fuente total'!AJ4</f>
        <v>382192.77599999995</v>
      </c>
      <c r="G212" s="8">
        <f>'Fuente total'!AK4</f>
        <v>382192.77599999995</v>
      </c>
      <c r="H212" s="61">
        <v>484110.84959999996</v>
      </c>
      <c r="I212" s="8">
        <v>624248.20079999988</v>
      </c>
      <c r="J212" s="8">
        <f t="shared" si="16"/>
        <v>428055.90912000003</v>
      </c>
      <c r="K212" s="8">
        <f t="shared" si="14"/>
        <v>433151.81280000001</v>
      </c>
      <c r="L212" s="10"/>
      <c r="M212" s="10"/>
    </row>
    <row r="213" spans="1:13" x14ac:dyDescent="0.25">
      <c r="A213" s="4" t="s">
        <v>89</v>
      </c>
      <c r="B213" s="3" t="s">
        <v>244</v>
      </c>
      <c r="C213" s="9" t="s">
        <v>95</v>
      </c>
      <c r="D213" s="8">
        <f>'Fuente total'!AH5</f>
        <v>1592469.9</v>
      </c>
      <c r="E213" s="8">
        <f>'Fuente total'!AI5</f>
        <v>955481.94</v>
      </c>
      <c r="F213" s="8">
        <f>'Fuente total'!AJ5</f>
        <v>955481.94</v>
      </c>
      <c r="G213" s="8">
        <f>'Fuente total'!AK5</f>
        <v>955481.94</v>
      </c>
      <c r="H213" s="61">
        <v>1210277.1239999998</v>
      </c>
      <c r="I213" s="8">
        <v>1560620.5020000001</v>
      </c>
      <c r="J213" s="8">
        <f t="shared" si="16"/>
        <v>1070139.7728000002</v>
      </c>
      <c r="K213" s="8">
        <f t="shared" si="14"/>
        <v>1082879.5320000001</v>
      </c>
      <c r="L213" s="10"/>
      <c r="M213" s="10"/>
    </row>
    <row r="214" spans="1:13" x14ac:dyDescent="0.25">
      <c r="A214" s="4" t="s">
        <v>89</v>
      </c>
      <c r="B214" s="3" t="s">
        <v>245</v>
      </c>
      <c r="C214" s="9" t="s">
        <v>95</v>
      </c>
      <c r="D214" s="8">
        <f>'Fuente total'!AH6</f>
        <v>849317.28</v>
      </c>
      <c r="E214" s="8">
        <f>'Fuente total'!AI6</f>
        <v>509590.36800000002</v>
      </c>
      <c r="F214" s="8">
        <f>'Fuente total'!AJ6</f>
        <v>509590.36800000002</v>
      </c>
      <c r="G214" s="8">
        <f>'Fuente total'!AK6</f>
        <v>509590.36800000002</v>
      </c>
      <c r="H214" s="61">
        <v>645481.13280000002</v>
      </c>
      <c r="I214" s="8">
        <v>832330.93440000003</v>
      </c>
      <c r="J214" s="8">
        <f t="shared" si="16"/>
        <v>570741.21216</v>
      </c>
      <c r="K214" s="8">
        <f t="shared" si="14"/>
        <v>577535.75040000002</v>
      </c>
      <c r="L214" s="10"/>
      <c r="M214" s="10"/>
    </row>
    <row r="215" spans="1:13" x14ac:dyDescent="0.25">
      <c r="A215" s="4" t="s">
        <v>89</v>
      </c>
      <c r="B215" s="3" t="s">
        <v>164</v>
      </c>
      <c r="C215" s="9" t="s">
        <v>95</v>
      </c>
      <c r="D215" s="8">
        <f>'Fuente total'!AH7</f>
        <v>1061646.5999999999</v>
      </c>
      <c r="E215" s="8">
        <f>'Fuente total'!AI7</f>
        <v>1380140.58</v>
      </c>
      <c r="F215" s="8">
        <f>'Fuente total'!AJ7</f>
        <v>1592469.9</v>
      </c>
      <c r="G215" s="8">
        <f>'Fuente total'!AK7</f>
        <v>1486305.2399999998</v>
      </c>
      <c r="H215" s="61">
        <v>1284592.3859999999</v>
      </c>
      <c r="I215" s="8">
        <v>1698634.56</v>
      </c>
      <c r="J215" s="8">
        <f t="shared" si="16"/>
        <v>1428976.3235999998</v>
      </c>
      <c r="K215" s="8">
        <f t="shared" si="14"/>
        <v>1422606.4439999999</v>
      </c>
      <c r="L215" s="10"/>
      <c r="M215" s="10"/>
    </row>
    <row r="216" spans="1:13" x14ac:dyDescent="0.25">
      <c r="A216" s="4" t="s">
        <v>89</v>
      </c>
      <c r="B216" s="3" t="s">
        <v>241</v>
      </c>
      <c r="C216" s="9" t="s">
        <v>95</v>
      </c>
      <c r="D216" s="8">
        <f>'Fuente total'!AH8</f>
        <v>902399.61</v>
      </c>
      <c r="E216" s="8">
        <f>'Fuente total'!AI8</f>
        <v>541439.76599999995</v>
      </c>
      <c r="F216" s="8">
        <f>'Fuente total'!AJ8</f>
        <v>541439.76599999995</v>
      </c>
      <c r="G216" s="8">
        <f>'Fuente total'!AK8</f>
        <v>541439.76599999995</v>
      </c>
      <c r="H216" s="61">
        <v>685823.70359999989</v>
      </c>
      <c r="I216" s="8">
        <v>884351.61779999989</v>
      </c>
      <c r="J216" s="8">
        <f t="shared" si="16"/>
        <v>606412.53792000003</v>
      </c>
      <c r="K216" s="8">
        <f t="shared" si="14"/>
        <v>613631.73479999998</v>
      </c>
      <c r="L216" s="10"/>
      <c r="M216" s="10"/>
    </row>
    <row r="217" spans="1:13" x14ac:dyDescent="0.25">
      <c r="A217" s="4" t="s">
        <v>89</v>
      </c>
      <c r="B217" s="3" t="s">
        <v>163</v>
      </c>
      <c r="C217" s="9" t="s">
        <v>95</v>
      </c>
      <c r="D217" s="8">
        <f>'Fuente total'!AH9</f>
        <v>424658.64</v>
      </c>
      <c r="E217" s="8">
        <f>'Fuente total'!AI9</f>
        <v>254795.18400000001</v>
      </c>
      <c r="F217" s="8">
        <f>'Fuente total'!AJ9</f>
        <v>254795.18400000001</v>
      </c>
      <c r="G217" s="8">
        <f>'Fuente total'!AK9</f>
        <v>254795.18400000001</v>
      </c>
      <c r="H217" s="61">
        <v>322740.56640000001</v>
      </c>
      <c r="I217" s="8">
        <v>416165.46720000001</v>
      </c>
      <c r="J217" s="8">
        <f t="shared" si="16"/>
        <v>285370.60608</v>
      </c>
      <c r="K217" s="8">
        <f t="shared" si="14"/>
        <v>288767.87520000001</v>
      </c>
      <c r="L217" s="10"/>
      <c r="M217" s="10"/>
    </row>
    <row r="218" spans="1:13" x14ac:dyDescent="0.25">
      <c r="A218" s="4" t="s">
        <v>89</v>
      </c>
      <c r="B218" s="3" t="s">
        <v>243</v>
      </c>
      <c r="C218" s="9" t="s">
        <v>170</v>
      </c>
      <c r="D218" s="10">
        <f>'Fuente total'!A43</f>
        <v>4.3478260869565215</v>
      </c>
      <c r="E218" s="10">
        <f>'Fuente total'!B43</f>
        <v>4.7619047619047619</v>
      </c>
      <c r="F218" s="10">
        <f>'Fuente total'!C43</f>
        <v>4.166666666666667</v>
      </c>
      <c r="G218" s="10">
        <f>'Fuente total'!D43</f>
        <v>4.5454545454545459</v>
      </c>
      <c r="H218" s="62">
        <v>4.5151044607566355</v>
      </c>
      <c r="I218" s="10">
        <v>3.5643704121964994</v>
      </c>
      <c r="J218" s="8">
        <f t="shared" si="16"/>
        <v>4.4124788255223049</v>
      </c>
      <c r="K218" s="8">
        <f t="shared" si="14"/>
        <v>4.3977037455298333</v>
      </c>
      <c r="L218" s="10"/>
      <c r="M218" s="10"/>
    </row>
    <row r="219" spans="1:13" x14ac:dyDescent="0.25">
      <c r="A219" s="4" t="s">
        <v>89</v>
      </c>
      <c r="B219" s="3" t="s">
        <v>240</v>
      </c>
      <c r="C219" s="9" t="s">
        <v>170</v>
      </c>
      <c r="D219" s="10">
        <f>'Fuente total'!A44</f>
        <v>5.2631578947368425</v>
      </c>
      <c r="E219" s="10">
        <f>'Fuente total'!B44</f>
        <v>5</v>
      </c>
      <c r="F219" s="10">
        <f>'Fuente total'!C44</f>
        <v>4.7619047619047628</v>
      </c>
      <c r="G219" s="10">
        <f>'Fuente total'!D44</f>
        <v>5.5555555555555554</v>
      </c>
      <c r="H219" s="62">
        <v>5.1370091896407688</v>
      </c>
      <c r="I219" s="10">
        <v>4.1161236424394323</v>
      </c>
      <c r="J219" s="8">
        <f t="shared" si="16"/>
        <v>5.117209690893902</v>
      </c>
      <c r="K219" s="8">
        <f t="shared" si="14"/>
        <v>5.0685045948203848</v>
      </c>
      <c r="L219" s="10"/>
      <c r="M219" s="10"/>
    </row>
    <row r="220" spans="1:13" x14ac:dyDescent="0.25">
      <c r="A220" s="4" t="s">
        <v>89</v>
      </c>
      <c r="B220" s="3" t="s">
        <v>242</v>
      </c>
      <c r="C220" s="9" t="s">
        <v>170</v>
      </c>
      <c r="D220" s="10">
        <f>'Fuente total'!A45</f>
        <v>5.5555555555555554</v>
      </c>
      <c r="E220" s="10">
        <f>'Fuente total'!B45</f>
        <v>4.7619047619047619</v>
      </c>
      <c r="F220" s="10">
        <f>'Fuente total'!C45</f>
        <v>5</v>
      </c>
      <c r="G220" s="10">
        <f>'Fuente total'!D45</f>
        <v>5.2631578947368416</v>
      </c>
      <c r="H220" s="62">
        <v>5.1532999164578115</v>
      </c>
      <c r="I220" s="10">
        <v>4.1161236424394323</v>
      </c>
      <c r="J220" s="8">
        <f t="shared" si="16"/>
        <v>5.1308270676691725</v>
      </c>
      <c r="K220" s="8">
        <f t="shared" si="14"/>
        <v>5.1161236424394314</v>
      </c>
      <c r="L220" s="10"/>
      <c r="M220" s="10"/>
    </row>
    <row r="221" spans="1:13" x14ac:dyDescent="0.25">
      <c r="A221" s="4" t="s">
        <v>89</v>
      </c>
      <c r="B221" s="3" t="s">
        <v>244</v>
      </c>
      <c r="C221" s="9" t="s">
        <v>170</v>
      </c>
      <c r="D221" s="10">
        <f>'Fuente total'!A46</f>
        <v>5.2631578947368416</v>
      </c>
      <c r="E221" s="10">
        <f>'Fuente total'!B46</f>
        <v>5</v>
      </c>
      <c r="F221" s="10">
        <f>'Fuente total'!C46</f>
        <v>4.7619047619047619</v>
      </c>
      <c r="G221" s="10">
        <f>'Fuente total'!D46</f>
        <v>5.5555555555555554</v>
      </c>
      <c r="H221" s="62">
        <v>5.1370091896407679</v>
      </c>
      <c r="I221" s="10">
        <v>4.1161236424394314</v>
      </c>
      <c r="J221" s="8">
        <f t="shared" si="16"/>
        <v>5.1172096908939011</v>
      </c>
      <c r="K221" s="8">
        <f t="shared" si="14"/>
        <v>5.068504594820384</v>
      </c>
      <c r="L221" s="10"/>
      <c r="M221" s="10"/>
    </row>
    <row r="222" spans="1:13" x14ac:dyDescent="0.25">
      <c r="A222" s="4" t="s">
        <v>89</v>
      </c>
      <c r="B222" s="3" t="s">
        <v>245</v>
      </c>
      <c r="C222" s="9" t="s">
        <v>170</v>
      </c>
      <c r="D222" s="10">
        <f>'Fuente total'!A47</f>
        <v>5</v>
      </c>
      <c r="E222" s="10">
        <f>'Fuente total'!B47</f>
        <v>4.7619047619047628</v>
      </c>
      <c r="F222" s="10">
        <f>'Fuente total'!C47</f>
        <v>5</v>
      </c>
      <c r="G222" s="10">
        <f>'Fuente total'!D47</f>
        <v>5.2631578947368425</v>
      </c>
      <c r="H222" s="62">
        <v>4.9310776942355892</v>
      </c>
      <c r="I222" s="10">
        <v>4.0050125313283207</v>
      </c>
      <c r="J222" s="8">
        <f t="shared" si="16"/>
        <v>5.0308270676691729</v>
      </c>
      <c r="K222" s="8">
        <f t="shared" si="14"/>
        <v>5.0050125313283207</v>
      </c>
      <c r="L222" s="10"/>
      <c r="M222" s="10"/>
    </row>
    <row r="223" spans="1:13" x14ac:dyDescent="0.25">
      <c r="A223" s="4" t="s">
        <v>89</v>
      </c>
      <c r="B223" s="3" t="s">
        <v>164</v>
      </c>
      <c r="C223" s="9" t="s">
        <v>170</v>
      </c>
      <c r="D223" s="10">
        <f>'Fuente total'!A48</f>
        <v>4.3478260869565215</v>
      </c>
      <c r="E223" s="10">
        <f>'Fuente total'!B48</f>
        <v>4.7619047619047619</v>
      </c>
      <c r="F223" s="10">
        <f>'Fuente total'!C48</f>
        <v>4.166666666666667</v>
      </c>
      <c r="G223" s="10">
        <f>'Fuente total'!D48</f>
        <v>4.5454545454545459</v>
      </c>
      <c r="H223" s="62">
        <v>4.5151044607566355</v>
      </c>
      <c r="I223" s="10">
        <v>3.5643704121964994</v>
      </c>
      <c r="J223" s="8">
        <f t="shared" si="16"/>
        <v>4.4124788255223049</v>
      </c>
      <c r="K223" s="8">
        <f t="shared" si="14"/>
        <v>4.3977037455298333</v>
      </c>
      <c r="L223" s="49"/>
      <c r="M223" s="49"/>
    </row>
    <row r="224" spans="1:13" x14ac:dyDescent="0.25">
      <c r="A224" s="4" t="s">
        <v>89</v>
      </c>
      <c r="B224" s="3" t="s">
        <v>241</v>
      </c>
      <c r="C224" s="9" t="s">
        <v>170</v>
      </c>
      <c r="D224" s="10">
        <f>'Fuente total'!A49</f>
        <v>5.2631578947368416</v>
      </c>
      <c r="E224" s="10">
        <f>'Fuente total'!B49</f>
        <v>4.9999999999999991</v>
      </c>
      <c r="F224" s="10">
        <f>'Fuente total'!C49</f>
        <v>4.7619047619047619</v>
      </c>
      <c r="G224" s="10">
        <f>'Fuente total'!D49</f>
        <v>5.5555555555555562</v>
      </c>
      <c r="H224" s="62">
        <v>5.1370091896407679</v>
      </c>
      <c r="I224" s="10">
        <v>4.1161236424394323</v>
      </c>
      <c r="J224" s="8">
        <f t="shared" si="16"/>
        <v>5.117209690893902</v>
      </c>
      <c r="K224" s="8">
        <f t="shared" si="14"/>
        <v>5.0685045948203848</v>
      </c>
      <c r="L224" s="49"/>
      <c r="M224" s="49"/>
    </row>
    <row r="225" spans="1:13" x14ac:dyDescent="0.25">
      <c r="A225" s="4" t="s">
        <v>89</v>
      </c>
      <c r="B225" s="3" t="s">
        <v>163</v>
      </c>
      <c r="C225" s="9" t="s">
        <v>170</v>
      </c>
      <c r="D225" s="10">
        <f>'Fuente total'!A50</f>
        <v>4.3478260869565215</v>
      </c>
      <c r="E225" s="10">
        <f>'Fuente total'!B50</f>
        <v>4.7619047619047619</v>
      </c>
      <c r="F225" s="10">
        <f>'Fuente total'!C50</f>
        <v>4.1666666666666661</v>
      </c>
      <c r="G225" s="10">
        <f>'Fuente total'!D50</f>
        <v>4.5454545454545459</v>
      </c>
      <c r="H225" s="62">
        <v>4.5151044607566355</v>
      </c>
      <c r="I225" s="10">
        <v>3.5643704121964994</v>
      </c>
      <c r="J225" s="8">
        <f t="shared" si="16"/>
        <v>4.412478825522304</v>
      </c>
      <c r="K225" s="8">
        <f t="shared" si="14"/>
        <v>4.3977037455298325</v>
      </c>
      <c r="L225" s="49"/>
      <c r="M225" s="49"/>
    </row>
    <row r="226" spans="1:13" x14ac:dyDescent="0.25">
      <c r="A226" s="4" t="s">
        <v>89</v>
      </c>
      <c r="B226" s="3" t="s">
        <v>243</v>
      </c>
      <c r="C226" s="9" t="s">
        <v>171</v>
      </c>
      <c r="D226" s="10">
        <f>'Fuente total'!E43</f>
        <v>9.4347826086956523</v>
      </c>
      <c r="E226" s="10">
        <f>'Fuente total'!F43</f>
        <v>10.802721088435375</v>
      </c>
      <c r="F226" s="10">
        <f>'Fuente total'!G43</f>
        <v>10.944444444444445</v>
      </c>
      <c r="G226" s="10">
        <f>'Fuente total'!H43</f>
        <v>9.0505050505050519</v>
      </c>
      <c r="H226" s="62">
        <v>10.094496428347361</v>
      </c>
      <c r="I226" s="10">
        <v>8.0464906384161043</v>
      </c>
      <c r="J226" s="10">
        <f t="shared" si="16"/>
        <v>10.116892079625</v>
      </c>
      <c r="K226" s="10">
        <f t="shared" ref="K226:K257" si="17">(D226*0.2)+(E226*0.2)+(F226*0.4)+(G226*0.2)</f>
        <v>10.235379527304994</v>
      </c>
      <c r="L226" s="49"/>
      <c r="M226" s="49"/>
    </row>
    <row r="227" spans="1:13" x14ac:dyDescent="0.25">
      <c r="A227" s="4" t="s">
        <v>89</v>
      </c>
      <c r="B227" s="3" t="s">
        <v>240</v>
      </c>
      <c r="C227" s="9" t="s">
        <v>171</v>
      </c>
      <c r="D227" s="10">
        <f>'Fuente total'!E44</f>
        <v>10.578947368421051</v>
      </c>
      <c r="E227" s="10">
        <f>'Fuente total'!F44</f>
        <v>11.142857142857142</v>
      </c>
      <c r="F227" s="10">
        <f>'Fuente total'!G44</f>
        <v>11.936507936507937</v>
      </c>
      <c r="G227" s="10">
        <f>'Fuente total'!H44</f>
        <v>10.172839506172842</v>
      </c>
      <c r="H227" s="62">
        <v>10.899656548779355</v>
      </c>
      <c r="I227" s="10">
        <v>8.7662303907917956</v>
      </c>
      <c r="J227" s="10">
        <f t="shared" si="16"/>
        <v>11.055462730901327</v>
      </c>
      <c r="K227" s="10">
        <f t="shared" si="17"/>
        <v>11.153531978093381</v>
      </c>
      <c r="L227" s="49"/>
      <c r="M227" s="49"/>
    </row>
    <row r="228" spans="1:13" x14ac:dyDescent="0.25">
      <c r="A228" s="4" t="s">
        <v>89</v>
      </c>
      <c r="B228" s="3" t="s">
        <v>242</v>
      </c>
      <c r="C228" s="9" t="s">
        <v>171</v>
      </c>
      <c r="D228" s="10">
        <f>'Fuente total'!E45</f>
        <v>10.944444444444445</v>
      </c>
      <c r="E228" s="10">
        <f>'Fuente total'!F45</f>
        <v>10.802721088435373</v>
      </c>
      <c r="F228" s="10">
        <f>'Fuente total'!G45</f>
        <v>12.33333333333333</v>
      </c>
      <c r="G228" s="10">
        <f>'Fuente total'!H45</f>
        <v>9.84795321637427</v>
      </c>
      <c r="H228" s="62">
        <v>10.916994868122686</v>
      </c>
      <c r="I228" s="10">
        <v>8.7856904165174843</v>
      </c>
      <c r="J228" s="10">
        <f t="shared" si="16"/>
        <v>11.111916696503162</v>
      </c>
      <c r="K228" s="10">
        <f t="shared" si="17"/>
        <v>11.252357083184149</v>
      </c>
      <c r="L228" s="49"/>
      <c r="M228" s="49"/>
    </row>
    <row r="229" spans="1:13" x14ac:dyDescent="0.25">
      <c r="A229" s="4" t="s">
        <v>89</v>
      </c>
      <c r="B229" s="3" t="s">
        <v>244</v>
      </c>
      <c r="C229" s="9" t="s">
        <v>171</v>
      </c>
      <c r="D229" s="10">
        <f>'Fuente total'!E46</f>
        <v>10.578947368421051</v>
      </c>
      <c r="E229" s="10">
        <f>'Fuente total'!F46</f>
        <v>11.142857142857144</v>
      </c>
      <c r="F229" s="10">
        <f>'Fuente total'!G46</f>
        <v>11.936507936507937</v>
      </c>
      <c r="G229" s="10">
        <f>'Fuente total'!H46</f>
        <v>10.17283950617284</v>
      </c>
      <c r="H229" s="62">
        <v>10.899656548779355</v>
      </c>
      <c r="I229" s="10">
        <v>8.7662303907917956</v>
      </c>
      <c r="J229" s="10">
        <f t="shared" si="16"/>
        <v>11.055462730901327</v>
      </c>
      <c r="K229" s="10">
        <f t="shared" si="17"/>
        <v>11.153531978093381</v>
      </c>
      <c r="L229" s="49"/>
      <c r="M229" s="49"/>
    </row>
    <row r="230" spans="1:13" x14ac:dyDescent="0.25">
      <c r="A230" s="4" t="s">
        <v>89</v>
      </c>
      <c r="B230" s="3" t="s">
        <v>245</v>
      </c>
      <c r="C230" s="9" t="s">
        <v>171</v>
      </c>
      <c r="D230" s="10">
        <f>'Fuente total'!E47</f>
        <v>10.25</v>
      </c>
      <c r="E230" s="10">
        <f>'Fuente total'!F47</f>
        <v>10.802721088435376</v>
      </c>
      <c r="F230" s="10">
        <f>'Fuente total'!G47</f>
        <v>12.33333333333333</v>
      </c>
      <c r="G230" s="10">
        <f>'Fuente total'!H47</f>
        <v>9.84795321637427</v>
      </c>
      <c r="H230" s="62">
        <v>10.639217090344911</v>
      </c>
      <c r="I230" s="10">
        <v>8.6468015276285968</v>
      </c>
      <c r="J230" s="10">
        <f t="shared" si="16"/>
        <v>10.986916696503163</v>
      </c>
      <c r="K230" s="10">
        <f t="shared" si="17"/>
        <v>11.113468194295264</v>
      </c>
      <c r="L230" s="49"/>
      <c r="M230" s="49"/>
    </row>
    <row r="231" spans="1:13" x14ac:dyDescent="0.25">
      <c r="A231" s="4" t="s">
        <v>89</v>
      </c>
      <c r="B231" s="3" t="s">
        <v>164</v>
      </c>
      <c r="C231" s="9" t="s">
        <v>171</v>
      </c>
      <c r="D231" s="10">
        <f>'Fuente total'!E48</f>
        <v>9.4347826086956523</v>
      </c>
      <c r="E231" s="10">
        <f>'Fuente total'!F48</f>
        <v>10.802721088435373</v>
      </c>
      <c r="F231" s="10">
        <f>'Fuente total'!G48</f>
        <v>10.944444444444446</v>
      </c>
      <c r="G231" s="10">
        <f>'Fuente total'!H48</f>
        <v>11.575757575757574</v>
      </c>
      <c r="H231" s="62">
        <v>10.347021680872613</v>
      </c>
      <c r="I231" s="10">
        <v>8.5515411434666095</v>
      </c>
      <c r="J231" s="10">
        <f t="shared" ref="J231:J257" si="18">K231+$Q$2*(G231-K231)</f>
        <v>10.823962786695708</v>
      </c>
      <c r="K231" s="10">
        <f t="shared" si="17"/>
        <v>10.7404300323555</v>
      </c>
      <c r="L231" s="10"/>
      <c r="M231" s="10"/>
    </row>
    <row r="232" spans="1:13" x14ac:dyDescent="0.25">
      <c r="A232" s="4" t="s">
        <v>89</v>
      </c>
      <c r="B232" s="3" t="s">
        <v>241</v>
      </c>
      <c r="C232" s="9" t="s">
        <v>171</v>
      </c>
      <c r="D232" s="10">
        <f>'Fuente total'!E49</f>
        <v>10.578947368421051</v>
      </c>
      <c r="E232" s="10">
        <f>'Fuente total'!F49</f>
        <v>11.142857142857142</v>
      </c>
      <c r="F232" s="10">
        <f>'Fuente total'!G49</f>
        <v>11.936507936507937</v>
      </c>
      <c r="G232" s="10">
        <f>'Fuente total'!H49</f>
        <v>10.17283950617284</v>
      </c>
      <c r="H232" s="62">
        <v>10.899656548779355</v>
      </c>
      <c r="I232" s="10">
        <v>8.7662303907917956</v>
      </c>
      <c r="J232" s="10">
        <f t="shared" si="18"/>
        <v>11.055462730901327</v>
      </c>
      <c r="K232" s="10">
        <f t="shared" si="17"/>
        <v>11.153531978093381</v>
      </c>
      <c r="L232" s="10"/>
      <c r="M232" s="10"/>
    </row>
    <row r="233" spans="1:13" x14ac:dyDescent="0.25">
      <c r="A233" s="4" t="s">
        <v>89</v>
      </c>
      <c r="B233" s="3" t="s">
        <v>163</v>
      </c>
      <c r="C233" s="9" t="s">
        <v>171</v>
      </c>
      <c r="D233" s="10">
        <f>'Fuente total'!E50</f>
        <v>9.4347826086956523</v>
      </c>
      <c r="E233" s="10">
        <f>'Fuente total'!F50</f>
        <v>10.802721088435373</v>
      </c>
      <c r="F233" s="10">
        <f>'Fuente total'!G50</f>
        <v>10.944444444444443</v>
      </c>
      <c r="G233" s="10">
        <f>'Fuente total'!H50</f>
        <v>9.0505050505050519</v>
      </c>
      <c r="H233" s="62">
        <v>10.094496428347361</v>
      </c>
      <c r="I233" s="10">
        <v>8.0464906384161043</v>
      </c>
      <c r="J233" s="10">
        <f t="shared" si="18"/>
        <v>10.116892079624998</v>
      </c>
      <c r="K233" s="10">
        <f t="shared" si="17"/>
        <v>10.235379527304993</v>
      </c>
      <c r="L233" s="10"/>
      <c r="M233" s="10"/>
    </row>
    <row r="234" spans="1:13" x14ac:dyDescent="0.25">
      <c r="A234" s="4" t="s">
        <v>89</v>
      </c>
      <c r="B234" s="3" t="s">
        <v>243</v>
      </c>
      <c r="C234" s="9" t="s">
        <v>172</v>
      </c>
      <c r="D234" s="47">
        <f>'Fuente total'!B32/'Fuente total'!$I$11</f>
        <v>0.19047629373997496</v>
      </c>
      <c r="E234" s="47">
        <f>'Fuente total'!C32/'Fuente total'!$I$11</f>
        <v>0.24761907552817855</v>
      </c>
      <c r="F234" s="47">
        <f>'Fuente total'!D32/'Fuente total'!$I$11</f>
        <v>0.2857142857142857</v>
      </c>
      <c r="G234" s="47">
        <f>'Fuente total'!E32/'Fuente total'!$I$11</f>
        <v>0.18293931292045543</v>
      </c>
      <c r="H234" s="47">
        <v>0.22210350757073555</v>
      </c>
      <c r="I234" s="47">
        <v>0.28801649680820712</v>
      </c>
      <c r="J234" s="47">
        <f t="shared" si="18"/>
        <v>0.23293731694313799</v>
      </c>
      <c r="K234" s="47">
        <f t="shared" si="17"/>
        <v>0.23849265072343606</v>
      </c>
      <c r="L234" s="10"/>
      <c r="M234" s="10"/>
    </row>
    <row r="235" spans="1:13" x14ac:dyDescent="0.25">
      <c r="A235" s="4" t="s">
        <v>89</v>
      </c>
      <c r="B235" s="3" t="s">
        <v>240</v>
      </c>
      <c r="C235" s="9" t="s">
        <v>172</v>
      </c>
      <c r="D235" s="29">
        <f>'Fuente total'!B33/'Fuente total'!$I$11</f>
        <v>0.17777780382629998</v>
      </c>
      <c r="E235" s="29">
        <f>'Fuente total'!C33/'Fuente total'!$I$11</f>
        <v>0.23111113995054641</v>
      </c>
      <c r="F235" s="29">
        <f>'Fuente total'!D33/'Fuente total'!$I$11</f>
        <v>0.26666663875753571</v>
      </c>
      <c r="G235" s="29">
        <f>'Fuente total'!E33/'Fuente total'!$I$11</f>
        <v>0.24888888516767144</v>
      </c>
      <c r="H235" s="47">
        <v>0.21511112990325928</v>
      </c>
      <c r="I235" s="47">
        <v>0.28444446267841</v>
      </c>
      <c r="J235" s="47">
        <f t="shared" si="18"/>
        <v>0.23928888767949322</v>
      </c>
      <c r="K235" s="47">
        <f t="shared" si="17"/>
        <v>0.23822222129191786</v>
      </c>
      <c r="L235" s="10"/>
      <c r="M235" s="10"/>
    </row>
    <row r="236" spans="1:13" x14ac:dyDescent="0.25">
      <c r="A236" s="4" t="s">
        <v>89</v>
      </c>
      <c r="B236" s="3" t="s">
        <v>242</v>
      </c>
      <c r="C236" s="9" t="s">
        <v>172</v>
      </c>
      <c r="D236" s="29">
        <f>'Fuente total'!B34/'Fuente total'!$I$11</f>
        <v>7.6190487354128563E-3</v>
      </c>
      <c r="E236" s="29">
        <f>'Fuente total'!C34/'Fuente total'!$I$11</f>
        <v>4.5714292412477138E-3</v>
      </c>
      <c r="F236" s="29">
        <f>'Fuente total'!D34/'Fuente total'!$I$11</f>
        <v>4.5714292412477138E-3</v>
      </c>
      <c r="G236" s="29">
        <f>'Fuente total'!E34/'Fuente total'!$I$11</f>
        <v>4.5714292412477138E-3</v>
      </c>
      <c r="H236" s="47">
        <v>5.7904770389137702E-3</v>
      </c>
      <c r="I236" s="47">
        <v>7.4666677607045989E-3</v>
      </c>
      <c r="J236" s="47">
        <f t="shared" si="18"/>
        <v>5.1200007501974393E-3</v>
      </c>
      <c r="K236" s="47">
        <f t="shared" si="17"/>
        <v>5.1809531400807424E-3</v>
      </c>
      <c r="L236" s="10"/>
      <c r="M236" s="10"/>
    </row>
    <row r="237" spans="1:13" x14ac:dyDescent="0.25">
      <c r="A237" s="4" t="s">
        <v>89</v>
      </c>
      <c r="B237" s="3" t="s">
        <v>244</v>
      </c>
      <c r="C237" s="9" t="s">
        <v>172</v>
      </c>
      <c r="D237" s="29">
        <f>'Fuente total'!B35/'Fuente total'!$I$11</f>
        <v>1.904762183853214E-2</v>
      </c>
      <c r="E237" s="29">
        <f>'Fuente total'!C35/'Fuente total'!$I$11</f>
        <v>1.1428573103119285E-2</v>
      </c>
      <c r="F237" s="29">
        <f>'Fuente total'!D35/'Fuente total'!$I$11</f>
        <v>1.1428573103119285E-2</v>
      </c>
      <c r="G237" s="29">
        <f>'Fuente total'!E35/'Fuente total'!$I$11</f>
        <v>1.1428573103119285E-2</v>
      </c>
      <c r="H237" s="47">
        <v>1.4476192597284426E-2</v>
      </c>
      <c r="I237" s="47">
        <v>1.8666669401761496E-2</v>
      </c>
      <c r="J237" s="47">
        <f t="shared" si="18"/>
        <v>1.28000018754936E-2</v>
      </c>
      <c r="K237" s="47">
        <f t="shared" si="17"/>
        <v>1.2952382850201857E-2</v>
      </c>
      <c r="L237" s="10"/>
      <c r="M237" s="10"/>
    </row>
    <row r="238" spans="1:13" x14ac:dyDescent="0.25">
      <c r="A238" s="4" t="s">
        <v>89</v>
      </c>
      <c r="B238" s="3" t="s">
        <v>245</v>
      </c>
      <c r="C238" s="9" t="s">
        <v>172</v>
      </c>
      <c r="D238" s="29">
        <f>'Fuente total'!B36/'Fuente total'!$I$11</f>
        <v>1.0158731647217143E-2</v>
      </c>
      <c r="E238" s="29">
        <f>'Fuente total'!C36/'Fuente total'!$I$11</f>
        <v>6.0952389883302859E-3</v>
      </c>
      <c r="F238" s="29">
        <f>'Fuente total'!D36/'Fuente total'!$I$11</f>
        <v>6.0952389883302859E-3</v>
      </c>
      <c r="G238" s="29">
        <f>'Fuente total'!E36/'Fuente total'!$I$11</f>
        <v>6.0952389883302859E-3</v>
      </c>
      <c r="H238" s="47">
        <v>7.7206360518850296E-3</v>
      </c>
      <c r="I238" s="47">
        <v>9.9555570142728003E-3</v>
      </c>
      <c r="J238" s="47">
        <f t="shared" si="18"/>
        <v>6.8266676669299208E-3</v>
      </c>
      <c r="K238" s="47">
        <f t="shared" si="17"/>
        <v>6.9079375201076577E-3</v>
      </c>
      <c r="L238" s="10"/>
      <c r="M238" s="10"/>
    </row>
    <row r="239" spans="1:13" x14ac:dyDescent="0.25">
      <c r="A239" s="4" t="s">
        <v>89</v>
      </c>
      <c r="B239" s="3" t="s">
        <v>164</v>
      </c>
      <c r="C239" s="9" t="s">
        <v>172</v>
      </c>
      <c r="D239" s="29">
        <f>'Fuente total'!B37/'Fuente total'!$I$11</f>
        <v>1.2698414559021428E-2</v>
      </c>
      <c r="E239" s="29">
        <f>'Fuente total'!C37/'Fuente total'!$I$11</f>
        <v>1.6507938926727857E-2</v>
      </c>
      <c r="F239" s="29">
        <f>'Fuente total'!D37/'Fuente total'!$I$11</f>
        <v>1.904762183853214E-2</v>
      </c>
      <c r="G239" s="29">
        <f>'Fuente total'!E37/'Fuente total'!$I$11</f>
        <v>1.7777780382629997E-2</v>
      </c>
      <c r="H239" s="47">
        <v>1.536508161641593E-2</v>
      </c>
      <c r="I239" s="47">
        <v>2.0317463294434283E-2</v>
      </c>
      <c r="J239" s="47">
        <f t="shared" si="18"/>
        <v>1.7092065996442841E-2</v>
      </c>
      <c r="K239" s="47">
        <f t="shared" si="17"/>
        <v>1.7015875509088712E-2</v>
      </c>
      <c r="L239" s="10"/>
      <c r="M239" s="10"/>
    </row>
    <row r="240" spans="1:13" x14ac:dyDescent="0.25">
      <c r="A240" s="4" t="s">
        <v>89</v>
      </c>
      <c r="B240" s="3" t="s">
        <v>241</v>
      </c>
      <c r="C240" s="9" t="s">
        <v>172</v>
      </c>
      <c r="D240" s="29">
        <f>'Fuente total'!B38/'Fuente total'!$I$11</f>
        <v>1.0793652375168213E-2</v>
      </c>
      <c r="E240" s="29">
        <f>'Fuente total'!C38/'Fuente total'!$I$11</f>
        <v>6.4761914251009285E-3</v>
      </c>
      <c r="F240" s="29">
        <f>'Fuente total'!D38/'Fuente total'!$I$11</f>
        <v>6.4761914251009285E-3</v>
      </c>
      <c r="G240" s="29">
        <f>'Fuente total'!E38/'Fuente total'!$I$11</f>
        <v>6.4761914251009285E-3</v>
      </c>
      <c r="H240" s="47">
        <v>8.2031758051278429E-3</v>
      </c>
      <c r="I240" s="47">
        <v>1.0577779327664849E-2</v>
      </c>
      <c r="J240" s="47">
        <f t="shared" si="18"/>
        <v>7.253334396113041E-3</v>
      </c>
      <c r="K240" s="47">
        <f t="shared" si="17"/>
        <v>7.339683615114387E-3</v>
      </c>
      <c r="L240" s="10"/>
      <c r="M240" s="10"/>
    </row>
    <row r="241" spans="1:13" x14ac:dyDescent="0.25">
      <c r="A241" s="4" t="s">
        <v>89</v>
      </c>
      <c r="B241" s="3" t="s">
        <v>163</v>
      </c>
      <c r="C241" s="9" t="s">
        <v>172</v>
      </c>
      <c r="D241" s="29">
        <f>'Fuente total'!B39/'Fuente total'!$I$11</f>
        <v>5.0793658236085717E-3</v>
      </c>
      <c r="E241" s="29">
        <f>'Fuente total'!C39/'Fuente total'!$I$11</f>
        <v>3.0476194941651429E-3</v>
      </c>
      <c r="F241" s="29">
        <f>'Fuente total'!D39/'Fuente total'!$I$11</f>
        <v>3.0476194941651429E-3</v>
      </c>
      <c r="G241" s="29">
        <f>'Fuente total'!E39/'Fuente total'!$I$11</f>
        <v>3.0476194941651429E-3</v>
      </c>
      <c r="H241" s="47">
        <v>3.8603180259425148E-3</v>
      </c>
      <c r="I241" s="47">
        <v>4.9777785071364001E-3</v>
      </c>
      <c r="J241" s="47">
        <f t="shared" si="18"/>
        <v>3.4133338334649604E-3</v>
      </c>
      <c r="K241" s="47">
        <f t="shared" si="17"/>
        <v>3.4539687600538289E-3</v>
      </c>
      <c r="L241" s="10"/>
      <c r="M241" s="10"/>
    </row>
    <row r="242" spans="1:13" x14ac:dyDescent="0.25">
      <c r="A242" s="4" t="s">
        <v>89</v>
      </c>
      <c r="B242" s="3" t="s">
        <v>243</v>
      </c>
      <c r="C242" s="9" t="s">
        <v>150</v>
      </c>
      <c r="D242" s="8">
        <f>'Fuente total'!B32/'Fuente total'!G54</f>
        <v>119734.62631578947</v>
      </c>
      <c r="E242" s="8">
        <f>'Fuente total'!C32/'Fuente total'!H54</f>
        <v>155654.94736842104</v>
      </c>
      <c r="F242" s="8">
        <f>'Fuente total'!D32/'Fuente total'!I54</f>
        <v>179601.84210526315</v>
      </c>
      <c r="G242" s="8">
        <f>'Fuente total'!E32/'Fuente total'!J54</f>
        <v>114996.83157894737</v>
      </c>
      <c r="H242" s="61">
        <v>139615.69684210527</v>
      </c>
      <c r="I242" s="8">
        <v>181049.02684210526</v>
      </c>
      <c r="J242" s="8">
        <f t="shared" si="18"/>
        <v>146425.89926315789</v>
      </c>
      <c r="K242" s="8">
        <f t="shared" si="17"/>
        <v>149918.01789473684</v>
      </c>
      <c r="L242" s="10"/>
      <c r="M242" s="10"/>
    </row>
    <row r="243" spans="1:13" x14ac:dyDescent="0.25">
      <c r="A243" s="4" t="s">
        <v>89</v>
      </c>
      <c r="B243" s="3" t="s">
        <v>240</v>
      </c>
      <c r="C243" s="9" t="s">
        <v>150</v>
      </c>
      <c r="D243" s="8">
        <f>'Fuente total'!B33/'Fuente total'!G55</f>
        <v>111752.27368421052</v>
      </c>
      <c r="E243" s="8">
        <f>'Fuente total'!C33/'Fuente total'!H55</f>
        <v>145277.95263157896</v>
      </c>
      <c r="F243" s="8">
        <f>'Fuente total'!D33/'Fuente total'!I55</f>
        <v>167628.36842105264</v>
      </c>
      <c r="G243" s="8">
        <f>'Fuente total'!E33/'Fuente total'!J55</f>
        <v>156453.15789473685</v>
      </c>
      <c r="H243" s="61">
        <v>135220.24315789473</v>
      </c>
      <c r="I243" s="8">
        <v>178803.62315789476</v>
      </c>
      <c r="J243" s="8">
        <f t="shared" si="18"/>
        <v>150418.53757894738</v>
      </c>
      <c r="K243" s="8">
        <f t="shared" si="17"/>
        <v>149748.02421052632</v>
      </c>
      <c r="L243" s="10"/>
      <c r="M243" s="10"/>
    </row>
    <row r="244" spans="1:13" x14ac:dyDescent="0.25">
      <c r="A244" s="4" t="s">
        <v>89</v>
      </c>
      <c r="B244" s="3" t="s">
        <v>242</v>
      </c>
      <c r="C244" s="9" t="s">
        <v>150</v>
      </c>
      <c r="D244" s="8">
        <f>'Fuente total'!B34/'Fuente total'!G56</f>
        <v>4789.3831578947365</v>
      </c>
      <c r="E244" s="8">
        <f>'Fuente total'!C34/'Fuente total'!H56</f>
        <v>2873.6298947368418</v>
      </c>
      <c r="F244" s="8">
        <f>'Fuente total'!D34/'Fuente total'!I56</f>
        <v>2873.6298947368418</v>
      </c>
      <c r="G244" s="8">
        <f>'Fuente total'!E34/'Fuente total'!J56</f>
        <v>2873.6298947368418</v>
      </c>
      <c r="H244" s="61">
        <v>3639.9312</v>
      </c>
      <c r="I244" s="8">
        <v>4693.5954947368418</v>
      </c>
      <c r="J244" s="8">
        <f t="shared" si="18"/>
        <v>3218.4654821052632</v>
      </c>
      <c r="K244" s="8">
        <f t="shared" si="17"/>
        <v>3256.7805473684211</v>
      </c>
      <c r="L244" s="10"/>
      <c r="M244" s="10"/>
    </row>
    <row r="245" spans="1:13" x14ac:dyDescent="0.25">
      <c r="A245" s="4" t="s">
        <v>89</v>
      </c>
      <c r="B245" s="3" t="s">
        <v>244</v>
      </c>
      <c r="C245" s="9" t="s">
        <v>150</v>
      </c>
      <c r="D245" s="8">
        <f>'Fuente total'!B35/'Fuente total'!G57</f>
        <v>11973.457894736843</v>
      </c>
      <c r="E245" s="8">
        <f>'Fuente total'!C35/'Fuente total'!H57</f>
        <v>7184.0747368421053</v>
      </c>
      <c r="F245" s="8">
        <f>'Fuente total'!D35/'Fuente total'!I57</f>
        <v>7184.0747368421053</v>
      </c>
      <c r="G245" s="8">
        <f>'Fuente total'!E35/'Fuente total'!J57</f>
        <v>7184.0747368421053</v>
      </c>
      <c r="H245" s="61">
        <v>9099.8280000000013</v>
      </c>
      <c r="I245" s="8">
        <v>11733.988736842104</v>
      </c>
      <c r="J245" s="8">
        <f t="shared" si="18"/>
        <v>8046.1637052631577</v>
      </c>
      <c r="K245" s="8">
        <f t="shared" si="17"/>
        <v>8141.9513684210524</v>
      </c>
      <c r="L245" s="10"/>
      <c r="M245" s="10"/>
    </row>
    <row r="246" spans="1:13" x14ac:dyDescent="0.25">
      <c r="A246" s="4" t="s">
        <v>89</v>
      </c>
      <c r="B246" s="3" t="s">
        <v>245</v>
      </c>
      <c r="C246" s="9" t="s">
        <v>150</v>
      </c>
      <c r="D246" s="8">
        <f>'Fuente total'!B36/'Fuente total'!G58</f>
        <v>6385.8442105263166</v>
      </c>
      <c r="E246" s="8">
        <f>'Fuente total'!C36/'Fuente total'!H58</f>
        <v>3831.5065263157899</v>
      </c>
      <c r="F246" s="8">
        <f>'Fuente total'!D36/'Fuente total'!I58</f>
        <v>3831.5065263157899</v>
      </c>
      <c r="G246" s="8">
        <f>'Fuente total'!E36/'Fuente total'!J58</f>
        <v>3831.5065263157899</v>
      </c>
      <c r="H246" s="61">
        <v>4853.2416000000003</v>
      </c>
      <c r="I246" s="8">
        <v>6258.12732631579</v>
      </c>
      <c r="J246" s="8">
        <f t="shared" si="18"/>
        <v>4291.2873094736842</v>
      </c>
      <c r="K246" s="8">
        <f t="shared" si="17"/>
        <v>4342.3740631578949</v>
      </c>
      <c r="L246" s="10"/>
      <c r="M246" s="10"/>
    </row>
    <row r="247" spans="1:13" x14ac:dyDescent="0.25">
      <c r="A247" s="4" t="s">
        <v>89</v>
      </c>
      <c r="B247" s="3" t="s">
        <v>164</v>
      </c>
      <c r="C247" s="9" t="s">
        <v>150</v>
      </c>
      <c r="D247" s="8">
        <f>'Fuente total'!B37/'Fuente total'!G59</f>
        <v>7982.3052631578948</v>
      </c>
      <c r="E247" s="8">
        <f>'Fuente total'!C37/'Fuente total'!H59</f>
        <v>10376.996842105264</v>
      </c>
      <c r="F247" s="8">
        <f>'Fuente total'!D37/'Fuente total'!I59</f>
        <v>11973.457894736843</v>
      </c>
      <c r="G247" s="8">
        <f>'Fuente total'!E37/'Fuente total'!J59</f>
        <v>11175.22736842105</v>
      </c>
      <c r="H247" s="61">
        <v>9658.5893684210532</v>
      </c>
      <c r="I247" s="8">
        <v>12771.688421052633</v>
      </c>
      <c r="J247" s="8">
        <f t="shared" si="18"/>
        <v>10744.182884210526</v>
      </c>
      <c r="K247" s="8">
        <f t="shared" si="17"/>
        <v>10696.289052631579</v>
      </c>
      <c r="L247" s="10"/>
      <c r="M247" s="10"/>
    </row>
    <row r="248" spans="1:13" x14ac:dyDescent="0.25">
      <c r="A248" s="4" t="s">
        <v>89</v>
      </c>
      <c r="B248" s="3" t="s">
        <v>241</v>
      </c>
      <c r="C248" s="9" t="s">
        <v>150</v>
      </c>
      <c r="D248" s="8">
        <f>'Fuente total'!B38/'Fuente total'!G60</f>
        <v>6784.9594736842109</v>
      </c>
      <c r="E248" s="8">
        <f>'Fuente total'!C38/'Fuente total'!H60</f>
        <v>4070.9756842105262</v>
      </c>
      <c r="F248" s="8">
        <f>'Fuente total'!D38/'Fuente total'!I60</f>
        <v>4070.9756842105262</v>
      </c>
      <c r="G248" s="8">
        <f>'Fuente total'!E38/'Fuente total'!J60</f>
        <v>4070.9756842105262</v>
      </c>
      <c r="H248" s="61">
        <v>5156.5691999999999</v>
      </c>
      <c r="I248" s="8">
        <v>6649.2602842105262</v>
      </c>
      <c r="J248" s="8">
        <f t="shared" si="18"/>
        <v>4559.4927663157896</v>
      </c>
      <c r="K248" s="8">
        <f t="shared" si="17"/>
        <v>4613.7724421052635</v>
      </c>
      <c r="L248" s="10"/>
      <c r="M248" s="10"/>
    </row>
    <row r="249" spans="1:13" x14ac:dyDescent="0.25">
      <c r="A249" s="4" t="s">
        <v>89</v>
      </c>
      <c r="B249" s="3" t="s">
        <v>163</v>
      </c>
      <c r="C249" s="9" t="s">
        <v>150</v>
      </c>
      <c r="D249" s="8">
        <f>'Fuente total'!B39/'Fuente total'!G61</f>
        <v>3192.9221052631583</v>
      </c>
      <c r="E249" s="8">
        <f>'Fuente total'!C39/'Fuente total'!H61</f>
        <v>1915.7532631578949</v>
      </c>
      <c r="F249" s="8">
        <f>'Fuente total'!D39/'Fuente total'!I61</f>
        <v>1915.7532631578949</v>
      </c>
      <c r="G249" s="8">
        <f>'Fuente total'!E39/'Fuente total'!J61</f>
        <v>1915.7532631578949</v>
      </c>
      <c r="H249" s="61">
        <v>2426.6208000000001</v>
      </c>
      <c r="I249" s="8">
        <v>3129.063663157895</v>
      </c>
      <c r="J249" s="8">
        <f t="shared" si="18"/>
        <v>2145.6436547368421</v>
      </c>
      <c r="K249" s="8">
        <f t="shared" si="17"/>
        <v>2171.1870315789474</v>
      </c>
      <c r="L249" s="10"/>
      <c r="M249" s="10"/>
    </row>
    <row r="250" spans="1:13" x14ac:dyDescent="0.25">
      <c r="A250" s="4" t="s">
        <v>89</v>
      </c>
      <c r="B250" s="3" t="s">
        <v>243</v>
      </c>
      <c r="C250" s="9" t="s">
        <v>173</v>
      </c>
      <c r="D250" s="8">
        <f t="shared" ref="D250:G257" si="19">D210/299</f>
        <v>53259.883946488291</v>
      </c>
      <c r="E250" s="8">
        <f t="shared" si="19"/>
        <v>69237.819397993313</v>
      </c>
      <c r="F250" s="8">
        <f t="shared" si="19"/>
        <v>79889.782608695648</v>
      </c>
      <c r="G250" s="8">
        <f t="shared" si="19"/>
        <v>51152.436789297659</v>
      </c>
      <c r="H250" s="61">
        <v>62103.303277591978</v>
      </c>
      <c r="I250" s="8">
        <v>80533.513612040129</v>
      </c>
      <c r="J250" s="8">
        <f t="shared" si="18"/>
        <v>65132.590642140465</v>
      </c>
      <c r="K250" s="8">
        <f t="shared" si="17"/>
        <v>66685.941070234112</v>
      </c>
    </row>
    <row r="251" spans="1:13" x14ac:dyDescent="0.25">
      <c r="A251" s="4" t="s">
        <v>89</v>
      </c>
      <c r="B251" s="3" t="s">
        <v>240</v>
      </c>
      <c r="C251" s="9" t="s">
        <v>173</v>
      </c>
      <c r="D251" s="8">
        <f t="shared" si="19"/>
        <v>49709.205351170567</v>
      </c>
      <c r="E251" s="8">
        <f t="shared" si="19"/>
        <v>64621.965551839465</v>
      </c>
      <c r="F251" s="8">
        <f t="shared" si="19"/>
        <v>74563.789297658863</v>
      </c>
      <c r="G251" s="8">
        <f t="shared" si="19"/>
        <v>69592.876254180606</v>
      </c>
      <c r="H251" s="61">
        <v>60148.134916387957</v>
      </c>
      <c r="I251" s="8">
        <v>79534.722006688957</v>
      </c>
      <c r="J251" s="8">
        <f t="shared" si="18"/>
        <v>66908.580260869567</v>
      </c>
      <c r="K251" s="8">
        <f t="shared" si="17"/>
        <v>66610.325150501667</v>
      </c>
    </row>
    <row r="252" spans="1:13" x14ac:dyDescent="0.25">
      <c r="A252" s="4" t="s">
        <v>89</v>
      </c>
      <c r="B252" s="3" t="s">
        <v>242</v>
      </c>
      <c r="C252" s="9" t="s">
        <v>173</v>
      </c>
      <c r="D252" s="8">
        <f t="shared" si="19"/>
        <v>2130.3945150501672</v>
      </c>
      <c r="E252" s="8">
        <f t="shared" si="19"/>
        <v>1278.2367090301002</v>
      </c>
      <c r="F252" s="8">
        <f t="shared" si="19"/>
        <v>1278.2367090301002</v>
      </c>
      <c r="G252" s="8">
        <f t="shared" si="19"/>
        <v>1278.2367090301002</v>
      </c>
      <c r="H252" s="61">
        <v>1619.099831438127</v>
      </c>
      <c r="I252" s="8">
        <v>2087.7866247491638</v>
      </c>
      <c r="J252" s="8">
        <f t="shared" si="18"/>
        <v>1431.6251141137122</v>
      </c>
      <c r="K252" s="8">
        <f t="shared" si="17"/>
        <v>1448.6682702341136</v>
      </c>
    </row>
    <row r="253" spans="1:13" x14ac:dyDescent="0.25">
      <c r="A253" s="4" t="s">
        <v>89</v>
      </c>
      <c r="B253" s="3" t="s">
        <v>244</v>
      </c>
      <c r="C253" s="9" t="s">
        <v>173</v>
      </c>
      <c r="D253" s="8">
        <f t="shared" si="19"/>
        <v>5325.9862876254174</v>
      </c>
      <c r="E253" s="8">
        <f t="shared" si="19"/>
        <v>3195.5917725752506</v>
      </c>
      <c r="F253" s="8">
        <f t="shared" si="19"/>
        <v>3195.5917725752506</v>
      </c>
      <c r="G253" s="8">
        <f t="shared" si="19"/>
        <v>3195.5917725752506</v>
      </c>
      <c r="H253" s="61">
        <v>4047.7495785953179</v>
      </c>
      <c r="I253" s="8">
        <v>5219.4665618729105</v>
      </c>
      <c r="J253" s="8">
        <f t="shared" si="18"/>
        <v>3579.0627852842808</v>
      </c>
      <c r="K253" s="8">
        <f t="shared" si="17"/>
        <v>3621.6706755852842</v>
      </c>
    </row>
    <row r="254" spans="1:13" x14ac:dyDescent="0.25">
      <c r="A254" s="4" t="s">
        <v>89</v>
      </c>
      <c r="B254" s="3" t="s">
        <v>245</v>
      </c>
      <c r="C254" s="9" t="s">
        <v>173</v>
      </c>
      <c r="D254" s="8">
        <f t="shared" si="19"/>
        <v>2840.5260200668899</v>
      </c>
      <c r="E254" s="8">
        <f t="shared" si="19"/>
        <v>1704.3156120401338</v>
      </c>
      <c r="F254" s="8">
        <f t="shared" si="19"/>
        <v>1704.3156120401338</v>
      </c>
      <c r="G254" s="8">
        <f t="shared" si="19"/>
        <v>1704.3156120401338</v>
      </c>
      <c r="H254" s="61">
        <v>2158.7997752508363</v>
      </c>
      <c r="I254" s="8">
        <v>2783.7154996655522</v>
      </c>
      <c r="J254" s="8">
        <f t="shared" si="18"/>
        <v>1908.8334854849502</v>
      </c>
      <c r="K254" s="8">
        <f t="shared" si="17"/>
        <v>1931.5576936454854</v>
      </c>
    </row>
    <row r="255" spans="1:13" x14ac:dyDescent="0.25">
      <c r="A255" s="4" t="s">
        <v>89</v>
      </c>
      <c r="B255" s="3" t="s">
        <v>164</v>
      </c>
      <c r="C255" s="9" t="s">
        <v>173</v>
      </c>
      <c r="D255" s="8">
        <f t="shared" si="19"/>
        <v>3550.6575250836117</v>
      </c>
      <c r="E255" s="8">
        <f t="shared" si="19"/>
        <v>4615.854782608696</v>
      </c>
      <c r="F255" s="8">
        <f t="shared" si="19"/>
        <v>5325.9862876254174</v>
      </c>
      <c r="G255" s="8">
        <f t="shared" si="19"/>
        <v>4970.9205351170558</v>
      </c>
      <c r="H255" s="61">
        <v>4296.2956053511707</v>
      </c>
      <c r="I255" s="8">
        <v>5681.0520401337799</v>
      </c>
      <c r="J255" s="8">
        <f t="shared" si="18"/>
        <v>4779.1850287625421</v>
      </c>
      <c r="K255" s="8">
        <f t="shared" si="17"/>
        <v>4757.8810836120401</v>
      </c>
    </row>
    <row r="256" spans="1:13" x14ac:dyDescent="0.25">
      <c r="A256" s="4" t="s">
        <v>89</v>
      </c>
      <c r="B256" s="3" t="s">
        <v>241</v>
      </c>
      <c r="C256" s="9" t="s">
        <v>173</v>
      </c>
      <c r="D256" s="8">
        <f t="shared" si="19"/>
        <v>3018.0588963210703</v>
      </c>
      <c r="E256" s="8">
        <f t="shared" si="19"/>
        <v>1810.8353377926419</v>
      </c>
      <c r="F256" s="8">
        <f t="shared" si="19"/>
        <v>1810.8353377926419</v>
      </c>
      <c r="G256" s="8">
        <f t="shared" si="19"/>
        <v>1810.8353377926419</v>
      </c>
      <c r="H256" s="61">
        <v>2293.7247612040132</v>
      </c>
      <c r="I256" s="8">
        <v>2957.6977183946483</v>
      </c>
      <c r="J256" s="8">
        <f t="shared" si="18"/>
        <v>2028.135578327759</v>
      </c>
      <c r="K256" s="8">
        <f t="shared" si="17"/>
        <v>2052.2800494983276</v>
      </c>
    </row>
    <row r="257" spans="1:11" x14ac:dyDescent="0.25">
      <c r="A257" s="4" t="s">
        <v>89</v>
      </c>
      <c r="B257" s="3" t="s">
        <v>163</v>
      </c>
      <c r="C257" s="9" t="s">
        <v>173</v>
      </c>
      <c r="D257" s="8">
        <f t="shared" si="19"/>
        <v>1420.263010033445</v>
      </c>
      <c r="E257" s="8">
        <f t="shared" si="19"/>
        <v>852.15780602006691</v>
      </c>
      <c r="F257" s="8">
        <f t="shared" si="19"/>
        <v>852.15780602006691</v>
      </c>
      <c r="G257" s="8">
        <f t="shared" si="19"/>
        <v>852.15780602006691</v>
      </c>
      <c r="H257" s="61">
        <v>1079.3998876254182</v>
      </c>
      <c r="I257" s="8">
        <v>1391.8577498327761</v>
      </c>
      <c r="J257" s="8">
        <f t="shared" si="18"/>
        <v>954.41674274247509</v>
      </c>
      <c r="K257" s="8">
        <f t="shared" si="17"/>
        <v>965.77884682274271</v>
      </c>
    </row>
  </sheetData>
  <autoFilter ref="A1:I257" xr:uid="{6D1B6DFC-7258-4A7A-BC5C-EFD5F5CA886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9259-3866-49FA-9E0F-0A457023E1D5}">
  <sheetPr codeName="Hoja7"/>
  <dimension ref="A1:AW145"/>
  <sheetViews>
    <sheetView tabSelected="1" topLeftCell="S80" workbookViewId="0">
      <selection activeCell="W82" sqref="W82:X83"/>
    </sheetView>
  </sheetViews>
  <sheetFormatPr baseColWidth="10" defaultRowHeight="15" x14ac:dyDescent="0.25"/>
  <cols>
    <col min="1" max="1" width="24.85546875" customWidth="1"/>
    <col min="2" max="4" width="25.28515625" style="4" customWidth="1"/>
    <col min="5" max="5" width="29.42578125" style="4" customWidth="1"/>
    <col min="6" max="8" width="29.42578125" customWidth="1"/>
    <col min="9" max="9" width="70.85546875" bestFit="1" customWidth="1"/>
    <col min="10" max="12" width="70.85546875" style="4" bestFit="1" customWidth="1"/>
    <col min="13" max="13" width="24.85546875" style="4" customWidth="1"/>
    <col min="14" max="17" width="27.28515625" style="4" customWidth="1"/>
    <col min="18" max="19" width="34.85546875" customWidth="1"/>
    <col min="20" max="20" width="35.5703125" bestFit="1" customWidth="1"/>
    <col min="21" max="21" width="34.85546875" customWidth="1"/>
    <col min="22" max="25" width="20.7109375" customWidth="1"/>
    <col min="26" max="29" width="26.85546875" customWidth="1"/>
    <col min="30" max="33" width="24.5703125" customWidth="1"/>
    <col min="34" max="34" width="24.85546875" customWidth="1"/>
    <col min="35" max="37" width="24.42578125" customWidth="1"/>
    <col min="38" max="41" width="29.42578125" customWidth="1"/>
  </cols>
  <sheetData>
    <row r="1" spans="1:49" x14ac:dyDescent="0.25">
      <c r="A1" s="3" t="s">
        <v>3</v>
      </c>
      <c r="B1" s="3" t="s">
        <v>45</v>
      </c>
      <c r="C1" s="3" t="s">
        <v>46</v>
      </c>
      <c r="D1" s="3" t="s">
        <v>47</v>
      </c>
      <c r="E1" s="3" t="s">
        <v>48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19</v>
      </c>
      <c r="S1" s="3" t="s">
        <v>20</v>
      </c>
      <c r="T1" s="3" t="s">
        <v>21</v>
      </c>
      <c r="U1" s="3" t="s">
        <v>22</v>
      </c>
      <c r="V1" s="3" t="s">
        <v>15</v>
      </c>
      <c r="W1" s="3" t="s">
        <v>16</v>
      </c>
      <c r="X1" s="3" t="s">
        <v>17</v>
      </c>
      <c r="Y1" s="3" t="s">
        <v>18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91</v>
      </c>
      <c r="AI1" s="3" t="s">
        <v>92</v>
      </c>
      <c r="AJ1" s="3" t="s">
        <v>93</v>
      </c>
      <c r="AK1" s="3" t="s">
        <v>94</v>
      </c>
      <c r="AL1" s="3" t="s">
        <v>102</v>
      </c>
      <c r="AM1" s="3" t="s">
        <v>103</v>
      </c>
      <c r="AN1" s="3" t="s">
        <v>104</v>
      </c>
      <c r="AO1" s="3" t="s">
        <v>105</v>
      </c>
      <c r="AP1" s="3" t="s">
        <v>118</v>
      </c>
      <c r="AQ1" s="3" t="s">
        <v>119</v>
      </c>
      <c r="AR1" s="3" t="s">
        <v>120</v>
      </c>
      <c r="AS1" s="3" t="s">
        <v>121</v>
      </c>
      <c r="AT1" s="3" t="s">
        <v>106</v>
      </c>
      <c r="AU1" s="3" t="s">
        <v>107</v>
      </c>
      <c r="AV1" s="3" t="s">
        <v>108</v>
      </c>
      <c r="AW1" s="3" t="s">
        <v>109</v>
      </c>
    </row>
    <row r="2" spans="1:49" x14ac:dyDescent="0.25">
      <c r="A2" s="3" t="s">
        <v>4</v>
      </c>
      <c r="B2" s="3">
        <v>2.5</v>
      </c>
      <c r="C2" s="3">
        <v>2.67</v>
      </c>
      <c r="D2" s="3">
        <v>2.68</v>
      </c>
      <c r="E2" s="3">
        <v>2.4300000000000002</v>
      </c>
      <c r="F2" s="1">
        <v>30027600.8028</v>
      </c>
      <c r="G2" s="2">
        <v>33030360.883080002</v>
      </c>
      <c r="H2" s="2">
        <v>42939469.148004003</v>
      </c>
      <c r="I2" s="2">
        <v>38645522.233203605</v>
      </c>
      <c r="J2" s="2">
        <v>6906348.1846440006</v>
      </c>
      <c r="K2" s="2">
        <v>6936375.7854468003</v>
      </c>
      <c r="L2" s="2">
        <v>10305472.59552096</v>
      </c>
      <c r="M2" s="2">
        <v>8502014.8913047928</v>
      </c>
      <c r="N2" s="2">
        <v>12431426.732359201</v>
      </c>
      <c r="O2" s="2">
        <v>11791838.83525956</v>
      </c>
      <c r="P2" s="2">
        <v>16488756.152833536</v>
      </c>
      <c r="Q2" s="2">
        <v>16153828.293479105</v>
      </c>
      <c r="R2">
        <v>909983160</v>
      </c>
      <c r="S2" s="4">
        <v>1182977600</v>
      </c>
      <c r="T2" s="4">
        <v>1364974000</v>
      </c>
      <c r="U2" s="4">
        <v>873975920</v>
      </c>
      <c r="V2" s="8">
        <v>22749579</v>
      </c>
      <c r="W2" s="8">
        <v>29574440</v>
      </c>
      <c r="X2" s="8">
        <v>34124350</v>
      </c>
      <c r="Y2" s="8">
        <v>21849398</v>
      </c>
      <c r="Z2" s="8">
        <v>22749579</v>
      </c>
      <c r="AA2" s="8">
        <v>29574440</v>
      </c>
      <c r="AB2" s="8">
        <v>34124350</v>
      </c>
      <c r="AC2" s="8">
        <v>21849398</v>
      </c>
      <c r="AD2" s="8">
        <v>20474621.100000001</v>
      </c>
      <c r="AE2" s="8">
        <v>26616000</v>
      </c>
      <c r="AF2" s="8">
        <v>30711915</v>
      </c>
      <c r="AG2" s="8">
        <v>19664458.199999999</v>
      </c>
      <c r="AH2" s="8">
        <v>15924705.299999999</v>
      </c>
      <c r="AI2" s="8">
        <v>20702108</v>
      </c>
      <c r="AJ2" s="8">
        <v>23887045</v>
      </c>
      <c r="AK2" s="8">
        <v>15294578.6</v>
      </c>
      <c r="AL2" s="12">
        <v>909983.16</v>
      </c>
      <c r="AM2" s="13">
        <v>849317.28</v>
      </c>
      <c r="AN2" s="12">
        <v>36399.311999999998</v>
      </c>
      <c r="AO2" s="13">
        <v>90998.28</v>
      </c>
      <c r="AP2" s="12">
        <v>363993.26400000002</v>
      </c>
      <c r="AQ2" s="13">
        <v>19412.966400000001</v>
      </c>
      <c r="AR2" s="12">
        <v>354893.28</v>
      </c>
      <c r="AS2" s="13">
        <v>36399.311999999998</v>
      </c>
      <c r="AT2" s="10"/>
      <c r="AU2" s="10"/>
      <c r="AV2" s="10"/>
      <c r="AW2" s="10"/>
    </row>
    <row r="3" spans="1:49" x14ac:dyDescent="0.25">
      <c r="A3" s="3" t="s">
        <v>5</v>
      </c>
      <c r="B3" s="3">
        <v>2.5</v>
      </c>
      <c r="C3" s="3">
        <v>2.67</v>
      </c>
      <c r="D3" s="3">
        <v>2.68</v>
      </c>
      <c r="E3" s="3">
        <v>2.4300000000000002</v>
      </c>
      <c r="F3" s="1">
        <v>12027696.8028</v>
      </c>
      <c r="G3" s="2">
        <v>25258163.285879999</v>
      </c>
      <c r="H3" s="2">
        <v>22732346.957292002</v>
      </c>
      <c r="I3" s="2">
        <v>11366173.478646001</v>
      </c>
      <c r="J3" s="2">
        <v>2285262.3925319999</v>
      </c>
      <c r="K3" s="2">
        <v>5051632.6571760001</v>
      </c>
      <c r="L3" s="2">
        <v>4773792.8610313199</v>
      </c>
      <c r="M3" s="2">
        <v>2045911.2261562801</v>
      </c>
      <c r="N3" s="2">
        <v>4113472.3065575999</v>
      </c>
      <c r="O3" s="2">
        <v>8587775.5171991996</v>
      </c>
      <c r="P3" s="2">
        <v>7638068.5776501121</v>
      </c>
      <c r="Q3" s="2">
        <v>3887231.3296969319</v>
      </c>
      <c r="R3" s="4">
        <v>849317280</v>
      </c>
      <c r="S3" s="4">
        <v>1104112440</v>
      </c>
      <c r="T3" s="4">
        <v>1273975600</v>
      </c>
      <c r="U3" s="4">
        <v>1189044000</v>
      </c>
      <c r="V3" s="8">
        <v>21232932</v>
      </c>
      <c r="W3" s="8">
        <v>27602811</v>
      </c>
      <c r="X3" s="8">
        <v>31849390</v>
      </c>
      <c r="Y3" s="8">
        <v>29726100</v>
      </c>
      <c r="Z3" s="8">
        <v>21232932</v>
      </c>
      <c r="AA3" s="8">
        <v>27602811</v>
      </c>
      <c r="AB3" s="8">
        <v>31849390</v>
      </c>
      <c r="AC3" s="8">
        <v>29726100</v>
      </c>
      <c r="AD3" s="8">
        <v>19109638.800000001</v>
      </c>
      <c r="AE3" s="8">
        <v>24842529.900000002</v>
      </c>
      <c r="AF3" s="8">
        <v>28664000</v>
      </c>
      <c r="AG3" s="8">
        <v>26753490</v>
      </c>
      <c r="AH3" s="8">
        <v>14863052.399999999</v>
      </c>
      <c r="AI3" s="8">
        <v>19321967.699999999</v>
      </c>
      <c r="AJ3" s="8">
        <v>22294573</v>
      </c>
      <c r="AK3" s="8">
        <v>20808270</v>
      </c>
      <c r="AL3" s="12">
        <v>48532.416000000005</v>
      </c>
      <c r="AM3" s="13">
        <v>60665.520000000004</v>
      </c>
      <c r="AN3" s="12">
        <v>51565.692000000003</v>
      </c>
      <c r="AO3" s="13">
        <v>24266.208000000002</v>
      </c>
      <c r="AP3" s="12">
        <v>409492.2</v>
      </c>
      <c r="AQ3" s="13">
        <v>8735.8348800000003</v>
      </c>
      <c r="AR3" s="12">
        <v>24266.208000000002</v>
      </c>
      <c r="AS3" s="13">
        <v>9281.8245599999991</v>
      </c>
      <c r="AT3" s="10"/>
      <c r="AU3" s="10"/>
      <c r="AV3" s="10"/>
      <c r="AW3" s="10"/>
    </row>
    <row r="4" spans="1:49" x14ac:dyDescent="0.25">
      <c r="A4" s="3" t="s">
        <v>6</v>
      </c>
      <c r="B4" s="3">
        <v>2.5</v>
      </c>
      <c r="C4" s="3">
        <v>2.67</v>
      </c>
      <c r="D4" s="3">
        <v>2.68</v>
      </c>
      <c r="E4" s="3">
        <v>2.4300000000000002</v>
      </c>
      <c r="F4" s="1">
        <v>1107706.8828</v>
      </c>
      <c r="G4" s="2">
        <v>110770.68828</v>
      </c>
      <c r="H4" s="2">
        <v>121847.75710800001</v>
      </c>
      <c r="I4" s="2">
        <v>718901.7669372001</v>
      </c>
      <c r="J4" s="2">
        <v>199387.238904</v>
      </c>
      <c r="K4" s="2">
        <v>23261.8445388</v>
      </c>
      <c r="L4" s="2">
        <v>24369.551421600001</v>
      </c>
      <c r="M4" s="2">
        <v>136591.33571806803</v>
      </c>
      <c r="N4" s="2">
        <v>358897.0300272</v>
      </c>
      <c r="O4" s="2">
        <v>39545.135715960001</v>
      </c>
      <c r="P4" s="2">
        <v>38991.282274560006</v>
      </c>
      <c r="Q4" s="2">
        <v>259523.53786432924</v>
      </c>
      <c r="R4" s="4">
        <v>36399312</v>
      </c>
      <c r="S4" s="4">
        <v>21839587.199999996</v>
      </c>
      <c r="T4" s="4">
        <v>21839587.199999996</v>
      </c>
      <c r="U4" s="4">
        <v>21839587.199999996</v>
      </c>
      <c r="V4" s="8">
        <v>909982.79999999993</v>
      </c>
      <c r="W4" s="8">
        <v>545989.67999999993</v>
      </c>
      <c r="X4" s="8">
        <v>545989.67999999993</v>
      </c>
      <c r="Y4" s="8">
        <v>545989.67999999993</v>
      </c>
      <c r="Z4" s="8">
        <v>909982.79999999993</v>
      </c>
      <c r="AA4" s="8">
        <v>545989.67999999993</v>
      </c>
      <c r="AB4" s="8">
        <v>545989.67999999993</v>
      </c>
      <c r="AC4" s="8">
        <v>545989.67999999993</v>
      </c>
      <c r="AD4" s="8">
        <v>818984.5199999999</v>
      </c>
      <c r="AE4" s="8">
        <v>491390.71199999994</v>
      </c>
      <c r="AF4" s="8">
        <v>491390.71199999994</v>
      </c>
      <c r="AG4" s="8">
        <v>491390.71199999994</v>
      </c>
      <c r="AH4" s="8">
        <v>636987.96</v>
      </c>
      <c r="AI4" s="8">
        <v>382192.77599999995</v>
      </c>
      <c r="AJ4" s="8">
        <v>382192.77599999995</v>
      </c>
      <c r="AK4" s="8">
        <v>382192.77599999995</v>
      </c>
      <c r="AL4" s="12">
        <v>887233.2</v>
      </c>
      <c r="AM4" s="13">
        <v>828084.33</v>
      </c>
      <c r="AN4" s="12">
        <v>16379.690399999998</v>
      </c>
      <c r="AO4" s="13">
        <v>40949.225999999995</v>
      </c>
      <c r="AP4" s="12">
        <v>33970</v>
      </c>
      <c r="AQ4" s="13">
        <v>24266.208000000002</v>
      </c>
      <c r="AR4" s="12">
        <v>33123</v>
      </c>
      <c r="AS4" s="13">
        <v>16379.690399999999</v>
      </c>
      <c r="AT4" s="10"/>
      <c r="AU4" s="10"/>
      <c r="AV4" s="10"/>
      <c r="AW4" s="10"/>
    </row>
    <row r="5" spans="1:49" x14ac:dyDescent="0.25">
      <c r="A5" s="3" t="s">
        <v>7</v>
      </c>
      <c r="B5" s="3">
        <v>2.68</v>
      </c>
      <c r="C5" s="3">
        <v>3.67</v>
      </c>
      <c r="D5" s="3">
        <v>3.1</v>
      </c>
      <c r="E5" s="3">
        <v>3.07</v>
      </c>
      <c r="F5" s="1">
        <v>987706.8</v>
      </c>
      <c r="G5" s="2">
        <v>3061891.08</v>
      </c>
      <c r="H5" s="2">
        <v>3368080.1880000005</v>
      </c>
      <c r="I5" s="2">
        <v>2694464.1504000006</v>
      </c>
      <c r="J5" s="2">
        <v>187664.29200000002</v>
      </c>
      <c r="K5" s="2">
        <v>612378.21600000001</v>
      </c>
      <c r="L5" s="2">
        <v>707296.83948000008</v>
      </c>
      <c r="M5" s="2">
        <v>485003.5470720001</v>
      </c>
      <c r="N5" s="2">
        <v>337795.72560000006</v>
      </c>
      <c r="O5" s="2">
        <v>1041042.9672</v>
      </c>
      <c r="P5" s="2">
        <v>1131674.9431680001</v>
      </c>
      <c r="Q5" s="2">
        <v>921506.73943680013</v>
      </c>
      <c r="R5" s="4">
        <v>90998280</v>
      </c>
      <c r="S5" s="4">
        <v>54598968</v>
      </c>
      <c r="T5" s="4">
        <v>54598968</v>
      </c>
      <c r="U5" s="4">
        <v>54598968</v>
      </c>
      <c r="V5" s="8">
        <v>2274957</v>
      </c>
      <c r="W5" s="8">
        <v>1364974.2</v>
      </c>
      <c r="X5" s="8">
        <v>1364974.2</v>
      </c>
      <c r="Y5" s="8">
        <v>1364974.2</v>
      </c>
      <c r="Z5" s="8">
        <v>2274957</v>
      </c>
      <c r="AA5" s="8">
        <v>1364974.2</v>
      </c>
      <c r="AB5" s="8">
        <v>1364974.2</v>
      </c>
      <c r="AC5" s="8">
        <v>1364974.2</v>
      </c>
      <c r="AD5" s="8">
        <v>2047461.3</v>
      </c>
      <c r="AE5" s="8">
        <v>1228476.78</v>
      </c>
      <c r="AF5" s="8">
        <v>1228000</v>
      </c>
      <c r="AG5" s="8">
        <v>1228476.78</v>
      </c>
      <c r="AH5" s="8">
        <v>1592469.9</v>
      </c>
      <c r="AI5" s="8">
        <v>955481.94</v>
      </c>
      <c r="AJ5" s="8">
        <v>955481.94</v>
      </c>
      <c r="AK5" s="8">
        <v>955481.94</v>
      </c>
      <c r="AL5" s="10">
        <v>90998.28</v>
      </c>
      <c r="AM5" s="10">
        <v>40949.225999999995</v>
      </c>
      <c r="AN5" s="10">
        <v>40949.225999999995</v>
      </c>
      <c r="AO5" s="10">
        <v>40949.225999999995</v>
      </c>
      <c r="AP5" s="12">
        <v>3821</v>
      </c>
      <c r="AQ5" s="13">
        <v>27299.483999999997</v>
      </c>
      <c r="AR5" s="12">
        <v>23659.552800000005</v>
      </c>
      <c r="AS5" s="13">
        <v>9281.8245599999991</v>
      </c>
      <c r="AT5" s="10"/>
      <c r="AU5" s="10"/>
      <c r="AV5" s="10"/>
      <c r="AW5" s="10"/>
    </row>
    <row r="6" spans="1:49" x14ac:dyDescent="0.25">
      <c r="A6" s="3" t="s">
        <v>8</v>
      </c>
      <c r="B6" s="3">
        <v>2.98</v>
      </c>
      <c r="C6" s="3">
        <v>2.97</v>
      </c>
      <c r="D6" s="3">
        <v>2.9</v>
      </c>
      <c r="E6" s="3">
        <v>2.95</v>
      </c>
      <c r="F6" s="1">
        <v>867642.80280000006</v>
      </c>
      <c r="G6" s="2">
        <v>1822049.8858800002</v>
      </c>
      <c r="H6" s="2">
        <v>2004254.8744680004</v>
      </c>
      <c r="I6" s="2">
        <v>2204680.3619148005</v>
      </c>
      <c r="J6" s="2">
        <v>173528.56056000001</v>
      </c>
      <c r="K6" s="2">
        <v>382630.4760348</v>
      </c>
      <c r="L6" s="2">
        <v>400850.9748936001</v>
      </c>
      <c r="M6" s="2">
        <v>418889.26876381208</v>
      </c>
      <c r="N6" s="2">
        <v>312351.40900800005</v>
      </c>
      <c r="O6" s="2">
        <v>650471.80925915996</v>
      </c>
      <c r="P6" s="2">
        <v>641361.55982976023</v>
      </c>
      <c r="Q6" s="2">
        <v>795889.6106512429</v>
      </c>
      <c r="R6" s="4">
        <v>48532416.000000007</v>
      </c>
      <c r="S6" s="4">
        <v>29119449.600000005</v>
      </c>
      <c r="T6" s="4">
        <v>29119449.600000005</v>
      </c>
      <c r="U6" s="4">
        <v>29119449.600000005</v>
      </c>
      <c r="V6" s="8">
        <v>1213310.4000000001</v>
      </c>
      <c r="W6" s="8">
        <v>727986.24000000011</v>
      </c>
      <c r="X6" s="8">
        <v>727986.24000000011</v>
      </c>
      <c r="Y6" s="8">
        <v>727986.24000000011</v>
      </c>
      <c r="Z6" s="8">
        <v>1213310.4000000001</v>
      </c>
      <c r="AA6" s="8">
        <v>727986.24000000011</v>
      </c>
      <c r="AB6" s="8">
        <v>727986.24000000011</v>
      </c>
      <c r="AC6" s="8">
        <v>727986.24000000011</v>
      </c>
      <c r="AD6" s="8">
        <v>1091979.3600000001</v>
      </c>
      <c r="AE6" s="8">
        <v>655187.61600000015</v>
      </c>
      <c r="AF6" s="8">
        <v>655187.61600000015</v>
      </c>
      <c r="AG6" s="8">
        <v>655187.61600000015</v>
      </c>
      <c r="AH6" s="8">
        <v>849317.28</v>
      </c>
      <c r="AI6" s="8">
        <v>509590.36800000002</v>
      </c>
      <c r="AJ6" s="8">
        <v>509590.36800000002</v>
      </c>
      <c r="AK6" s="8">
        <v>509590.36800000002</v>
      </c>
      <c r="AL6" s="12">
        <v>1023730.5</v>
      </c>
      <c r="AM6" s="13">
        <v>955481.7</v>
      </c>
      <c r="AN6" s="12">
        <v>16379.690399999998</v>
      </c>
      <c r="AO6" s="13">
        <v>40949.225999999995</v>
      </c>
      <c r="AP6" s="12">
        <v>14559.7248</v>
      </c>
      <c r="AQ6" s="13">
        <v>20626.276800000003</v>
      </c>
      <c r="AR6" s="12">
        <v>6551.8761599999998</v>
      </c>
      <c r="AS6" s="13">
        <v>16379.690399999999</v>
      </c>
      <c r="AT6" s="10"/>
      <c r="AU6" s="10"/>
      <c r="AV6" s="10"/>
      <c r="AW6" s="10"/>
    </row>
    <row r="7" spans="1:49" x14ac:dyDescent="0.25">
      <c r="A7" s="3" t="s">
        <v>0</v>
      </c>
      <c r="B7" s="3">
        <v>1.98</v>
      </c>
      <c r="C7" s="3">
        <v>1.98</v>
      </c>
      <c r="D7" s="3">
        <v>2.12</v>
      </c>
      <c r="E7" s="3">
        <v>1.91</v>
      </c>
      <c r="F7" s="1">
        <v>2187706.9547999999</v>
      </c>
      <c r="G7" s="2">
        <v>2406477.6502800002</v>
      </c>
      <c r="H7" s="2">
        <v>2887773.1803359999</v>
      </c>
      <c r="I7" s="2">
        <v>4909214.4065712001</v>
      </c>
      <c r="J7" s="2">
        <v>503172.59960399999</v>
      </c>
      <c r="K7" s="2">
        <v>505360.30655880005</v>
      </c>
      <c r="L7" s="2">
        <v>693065.56328063994</v>
      </c>
      <c r="M7" s="2">
        <v>1080027.1694456639</v>
      </c>
      <c r="N7" s="2">
        <v>905710.67928719998</v>
      </c>
      <c r="O7" s="2">
        <v>859112.52114996011</v>
      </c>
      <c r="P7" s="2">
        <v>1108904.9012490239</v>
      </c>
      <c r="Q7" s="2">
        <v>1728043.4711130625</v>
      </c>
      <c r="R7" s="4">
        <v>60665520</v>
      </c>
      <c r="S7" s="4">
        <v>78865176</v>
      </c>
      <c r="T7" s="4">
        <v>90998280</v>
      </c>
      <c r="U7" s="4">
        <v>84931727.999999985</v>
      </c>
      <c r="V7" s="8">
        <v>1516638</v>
      </c>
      <c r="W7" s="8">
        <v>1971629.4000000001</v>
      </c>
      <c r="X7" s="8">
        <v>2274957</v>
      </c>
      <c r="Y7" s="8">
        <v>2123293.1999999997</v>
      </c>
      <c r="Z7" s="8">
        <v>1516638</v>
      </c>
      <c r="AA7" s="8">
        <v>1971629.4000000001</v>
      </c>
      <c r="AB7" s="8">
        <v>2274957</v>
      </c>
      <c r="AC7" s="8">
        <v>2123293.1999999997</v>
      </c>
      <c r="AD7" s="8">
        <v>1364000</v>
      </c>
      <c r="AE7" s="8">
        <v>1774466.4600000002</v>
      </c>
      <c r="AF7" s="8">
        <v>2047461.3</v>
      </c>
      <c r="AG7" s="8">
        <v>1910963.88</v>
      </c>
      <c r="AH7" s="8">
        <v>1061646.5999999999</v>
      </c>
      <c r="AI7" s="8">
        <v>1380140.58</v>
      </c>
      <c r="AJ7" s="8">
        <v>1592469.9</v>
      </c>
      <c r="AK7" s="8">
        <v>1486305.2399999998</v>
      </c>
      <c r="AL7" s="12">
        <v>21839.587200000002</v>
      </c>
      <c r="AM7" s="13">
        <v>68248.709999999992</v>
      </c>
      <c r="AN7" s="12">
        <v>23204.561399999999</v>
      </c>
      <c r="AO7" s="13">
        <v>10919.793600000001</v>
      </c>
      <c r="AP7" s="12">
        <v>6551.8761599999998</v>
      </c>
      <c r="AQ7" s="13">
        <v>9281.8245599999991</v>
      </c>
      <c r="AR7" s="12">
        <v>27299.483999999997</v>
      </c>
      <c r="AS7" s="13">
        <v>4367.9174400000002</v>
      </c>
      <c r="AT7" s="10"/>
      <c r="AU7" s="10"/>
      <c r="AV7" s="10"/>
      <c r="AW7" s="10"/>
    </row>
    <row r="8" spans="1:49" x14ac:dyDescent="0.25">
      <c r="A8" s="3" t="s">
        <v>9</v>
      </c>
      <c r="B8" s="3">
        <v>2.68</v>
      </c>
      <c r="C8" s="3">
        <v>3.67</v>
      </c>
      <c r="D8" s="3">
        <v>3.1</v>
      </c>
      <c r="E8" s="3">
        <v>3.07</v>
      </c>
      <c r="F8" s="1">
        <v>987706.88280000002</v>
      </c>
      <c r="G8" s="2">
        <v>1876643.0773199999</v>
      </c>
      <c r="H8" s="2">
        <v>1688978.7695879999</v>
      </c>
      <c r="I8" s="2">
        <v>1351183.0156704001</v>
      </c>
      <c r="J8" s="2">
        <v>187664.30773200002</v>
      </c>
      <c r="K8" s="2">
        <v>375328.61546400003</v>
      </c>
      <c r="L8" s="2">
        <v>354685.54161347996</v>
      </c>
      <c r="M8" s="2">
        <v>243212.942820672</v>
      </c>
      <c r="N8" s="2">
        <v>337795.75391760003</v>
      </c>
      <c r="O8" s="2">
        <v>638058.64628880005</v>
      </c>
      <c r="P8" s="2">
        <v>567496.86658156791</v>
      </c>
      <c r="Q8" s="2">
        <v>462104.59135927679</v>
      </c>
      <c r="R8" s="4">
        <v>51565692</v>
      </c>
      <c r="S8" s="4">
        <v>30939415.199999999</v>
      </c>
      <c r="T8" s="4">
        <v>30939415.199999999</v>
      </c>
      <c r="U8" s="4">
        <v>30939415.199999999</v>
      </c>
      <c r="V8" s="8">
        <v>1289142.3</v>
      </c>
      <c r="W8" s="8">
        <v>773485.38</v>
      </c>
      <c r="X8" s="8">
        <v>773485.38</v>
      </c>
      <c r="Y8" s="8">
        <v>773485.38</v>
      </c>
      <c r="Z8" s="8">
        <v>1289142.3</v>
      </c>
      <c r="AA8" s="8">
        <v>773485.38</v>
      </c>
      <c r="AB8" s="8">
        <v>773485.38</v>
      </c>
      <c r="AC8" s="8">
        <v>773485.38</v>
      </c>
      <c r="AD8" s="8">
        <v>1160228.07</v>
      </c>
      <c r="AE8" s="8">
        <v>696136.84200000006</v>
      </c>
      <c r="AF8" s="8">
        <v>696136.84200000006</v>
      </c>
      <c r="AG8" s="8">
        <v>696136.84199999995</v>
      </c>
      <c r="AH8" s="8">
        <v>902399.61</v>
      </c>
      <c r="AI8" s="8">
        <v>541439.76599999995</v>
      </c>
      <c r="AJ8" s="8">
        <v>541439.76599999995</v>
      </c>
      <c r="AK8" s="8">
        <v>541439.76599999995</v>
      </c>
      <c r="AL8" s="13">
        <v>60665.520000000004</v>
      </c>
      <c r="AM8" s="13">
        <v>59148.882000000005</v>
      </c>
      <c r="AN8" s="13">
        <v>68248.709999999992</v>
      </c>
      <c r="AO8" s="13">
        <v>63698.795999999988</v>
      </c>
      <c r="AP8" s="12">
        <v>36399.311999999998</v>
      </c>
      <c r="AQ8" s="13">
        <v>9706.4832000000006</v>
      </c>
      <c r="AR8" s="12">
        <v>16379.690399999999</v>
      </c>
      <c r="AS8" s="13">
        <v>16379.690399999999</v>
      </c>
      <c r="AT8" s="10"/>
      <c r="AU8" s="10"/>
      <c r="AV8" s="10"/>
      <c r="AW8" s="10"/>
    </row>
    <row r="9" spans="1:49" x14ac:dyDescent="0.25">
      <c r="A9" s="3" t="s">
        <v>10</v>
      </c>
      <c r="B9" s="3">
        <v>1.98</v>
      </c>
      <c r="C9" s="3">
        <v>1.98</v>
      </c>
      <c r="D9" s="3">
        <v>2.12</v>
      </c>
      <c r="E9" s="3">
        <v>1.91</v>
      </c>
      <c r="F9" s="1">
        <v>507697.34279999998</v>
      </c>
      <c r="G9" s="2">
        <v>812315.74848000007</v>
      </c>
      <c r="H9" s="2">
        <v>649852.59878400015</v>
      </c>
      <c r="I9" s="2">
        <v>259941.03951360006</v>
      </c>
      <c r="J9" s="2">
        <v>116770.388844</v>
      </c>
      <c r="K9" s="2">
        <v>170586.30718080001</v>
      </c>
      <c r="L9" s="2">
        <v>155964.62370816004</v>
      </c>
      <c r="M9" s="2">
        <v>57187.028692992011</v>
      </c>
      <c r="N9" s="2">
        <v>210186.69991920001</v>
      </c>
      <c r="O9" s="2">
        <v>289996.72220736003</v>
      </c>
      <c r="P9" s="2">
        <v>249543.39793305608</v>
      </c>
      <c r="Q9" s="2">
        <v>108655.35451668482</v>
      </c>
      <c r="R9" s="4">
        <v>24266208.000000004</v>
      </c>
      <c r="S9" s="4">
        <v>14559724.800000003</v>
      </c>
      <c r="T9" s="4">
        <v>14559724.800000003</v>
      </c>
      <c r="U9" s="4">
        <v>14559724.800000003</v>
      </c>
      <c r="V9" s="8">
        <v>606655.20000000007</v>
      </c>
      <c r="W9" s="8">
        <v>363993.12000000005</v>
      </c>
      <c r="X9" s="8">
        <v>363993.12000000005</v>
      </c>
      <c r="Y9" s="8">
        <v>363993.12000000005</v>
      </c>
      <c r="Z9" s="8">
        <v>606655.20000000007</v>
      </c>
      <c r="AA9" s="8">
        <v>363993.12000000005</v>
      </c>
      <c r="AB9" s="8">
        <v>363993.12000000005</v>
      </c>
      <c r="AC9" s="8">
        <v>363993.12000000005</v>
      </c>
      <c r="AD9" s="8">
        <v>545989.68000000005</v>
      </c>
      <c r="AE9" s="8">
        <v>327593.80800000008</v>
      </c>
      <c r="AF9" s="8">
        <v>327593.80800000008</v>
      </c>
      <c r="AG9" s="8">
        <v>327593.80800000008</v>
      </c>
      <c r="AH9" s="8">
        <v>424658.64</v>
      </c>
      <c r="AI9" s="8">
        <v>254795.18400000001</v>
      </c>
      <c r="AJ9" s="8">
        <v>254795.18400000001</v>
      </c>
      <c r="AK9" s="8">
        <v>254795.18400000001</v>
      </c>
      <c r="AL9" s="12">
        <v>23204.561399999999</v>
      </c>
      <c r="AM9" s="12">
        <v>23204.561399999999</v>
      </c>
      <c r="AN9" s="13">
        <v>10919.793600000001</v>
      </c>
      <c r="AO9" s="10">
        <v>10840</v>
      </c>
      <c r="AP9" s="12">
        <v>16379.690399999999</v>
      </c>
      <c r="AQ9" s="13">
        <v>4367.9174400000002</v>
      </c>
      <c r="AR9" s="4">
        <v>25479.518399999997</v>
      </c>
      <c r="AS9" s="13">
        <v>4336</v>
      </c>
      <c r="AT9" s="10"/>
      <c r="AU9" s="10"/>
      <c r="AV9" s="10"/>
      <c r="AW9" s="10"/>
    </row>
    <row r="10" spans="1:49" ht="15.75" thickBot="1" x14ac:dyDescent="0.3">
      <c r="A10" s="3"/>
      <c r="B10" s="17" t="s">
        <v>3</v>
      </c>
      <c r="C10" s="37" t="s">
        <v>96</v>
      </c>
      <c r="D10" s="37" t="s">
        <v>97</v>
      </c>
      <c r="E10" s="37" t="s">
        <v>98</v>
      </c>
      <c r="F10" s="37" t="s">
        <v>99</v>
      </c>
      <c r="G10" s="3"/>
      <c r="I10" t="s">
        <v>136</v>
      </c>
      <c r="L10" s="60" t="s">
        <v>179</v>
      </c>
      <c r="M10" s="60" t="s">
        <v>180</v>
      </c>
      <c r="N10" s="60" t="s">
        <v>181</v>
      </c>
      <c r="O10" s="60" t="s">
        <v>182</v>
      </c>
    </row>
    <row r="11" spans="1:49" x14ac:dyDescent="0.25">
      <c r="B11" s="35" t="s">
        <v>4</v>
      </c>
      <c r="C11" s="38">
        <f>A20*0.8</f>
        <v>5.7040000000000006</v>
      </c>
      <c r="D11" s="38">
        <f>B20*0.8</f>
        <v>5.6960000000000006</v>
      </c>
      <c r="E11" s="38">
        <f>C20*0.8</f>
        <v>5.6960000000000006</v>
      </c>
      <c r="F11" s="38">
        <f>D20*0.8</f>
        <v>5.4240000000000004</v>
      </c>
      <c r="G11" s="2"/>
      <c r="H11" s="35" t="s">
        <v>4</v>
      </c>
      <c r="I11" s="4">
        <v>119435225</v>
      </c>
      <c r="J11" s="2"/>
      <c r="K11" s="2"/>
      <c r="L11" s="60">
        <f>B2-1</f>
        <v>1.5</v>
      </c>
      <c r="M11" s="60">
        <f t="shared" ref="M11:O18" si="0">C2-1</f>
        <v>1.67</v>
      </c>
      <c r="N11" s="60">
        <f t="shared" si="0"/>
        <v>1.6800000000000002</v>
      </c>
      <c r="O11" s="60">
        <f t="shared" si="0"/>
        <v>1.4300000000000002</v>
      </c>
      <c r="P11" s="2"/>
      <c r="Q11" s="2"/>
      <c r="R11" s="8"/>
      <c r="S11" s="8"/>
      <c r="T11" s="8"/>
      <c r="U11" s="8"/>
      <c r="AL11" s="10"/>
      <c r="AM11" s="10"/>
      <c r="AN11" s="10"/>
      <c r="AO11" s="10"/>
      <c r="AP11" s="10"/>
    </row>
    <row r="12" spans="1:49" x14ac:dyDescent="0.25">
      <c r="B12" s="36" t="s">
        <v>5</v>
      </c>
      <c r="C12" s="38">
        <f t="shared" ref="C12:C18" si="1">A21*0.8</f>
        <v>5.6960000000000006</v>
      </c>
      <c r="D12" s="38">
        <f t="shared" ref="D12:D18" si="2">B21*0.8</f>
        <v>5.7040000000000006</v>
      </c>
      <c r="E12" s="38">
        <f t="shared" ref="E12:E18" si="3">C21*0.8</f>
        <v>5.7119999999999997</v>
      </c>
      <c r="F12" s="38">
        <f t="shared" ref="F12:F18" si="4">D21*0.8</f>
        <v>5.4880000000000004</v>
      </c>
      <c r="G12" s="2"/>
      <c r="H12" s="36" t="s">
        <v>5</v>
      </c>
      <c r="I12" s="4">
        <v>85993353</v>
      </c>
      <c r="J12" s="10">
        <v>2740</v>
      </c>
      <c r="K12" s="2" t="s">
        <v>41</v>
      </c>
      <c r="L12" s="60">
        <f t="shared" ref="L12:L18" si="5">B3-1</f>
        <v>1.5</v>
      </c>
      <c r="M12" s="60">
        <f t="shared" si="0"/>
        <v>1.67</v>
      </c>
      <c r="N12" s="60">
        <f t="shared" si="0"/>
        <v>1.6800000000000002</v>
      </c>
      <c r="O12" s="60">
        <f t="shared" si="0"/>
        <v>1.4300000000000002</v>
      </c>
      <c r="P12" s="2"/>
      <c r="Q12" s="2"/>
      <c r="R12" s="8"/>
      <c r="S12" s="8"/>
      <c r="T12" s="8"/>
      <c r="U12" s="8"/>
      <c r="AH12" t="e">
        <f>(AH2*100)/#REF!</f>
        <v>#REF!</v>
      </c>
    </row>
    <row r="13" spans="1:49" x14ac:dyDescent="0.25">
      <c r="B13" s="35" t="s">
        <v>6</v>
      </c>
      <c r="C13" s="38">
        <f t="shared" si="1"/>
        <v>5.7040000000000006</v>
      </c>
      <c r="D13" s="38">
        <f t="shared" si="2"/>
        <v>5.7200000000000006</v>
      </c>
      <c r="E13" s="38">
        <f t="shared" si="3"/>
        <v>5.7040000000000006</v>
      </c>
      <c r="F13" s="38">
        <f t="shared" si="4"/>
        <v>5.6880000000000006</v>
      </c>
      <c r="G13" s="2"/>
      <c r="H13" s="35" t="s">
        <v>6</v>
      </c>
      <c r="I13" s="4">
        <v>2129359.7519999999</v>
      </c>
      <c r="J13" s="10">
        <v>1610</v>
      </c>
      <c r="K13" s="2" t="s">
        <v>42</v>
      </c>
      <c r="L13" s="60">
        <f t="shared" si="5"/>
        <v>1.5</v>
      </c>
      <c r="M13" s="60">
        <f t="shared" si="0"/>
        <v>1.67</v>
      </c>
      <c r="N13" s="60">
        <f t="shared" si="0"/>
        <v>1.6800000000000002</v>
      </c>
      <c r="O13" s="60">
        <f t="shared" si="0"/>
        <v>1.4300000000000002</v>
      </c>
      <c r="P13" s="2"/>
      <c r="Q13" s="2"/>
      <c r="R13" s="8"/>
      <c r="S13" s="8"/>
      <c r="T13" s="8"/>
      <c r="U13" s="8"/>
      <c r="AL13" s="10"/>
      <c r="AM13" s="10"/>
      <c r="AN13" s="10"/>
      <c r="AO13" s="10"/>
    </row>
    <row r="14" spans="1:49" x14ac:dyDescent="0.25">
      <c r="B14" s="36" t="s">
        <v>7</v>
      </c>
      <c r="C14" s="38">
        <f t="shared" si="1"/>
        <v>5.7200000000000006</v>
      </c>
      <c r="D14" s="38">
        <f t="shared" si="2"/>
        <v>5.7119999999999997</v>
      </c>
      <c r="E14" s="38">
        <f t="shared" si="3"/>
        <v>5.5760000000000005</v>
      </c>
      <c r="F14" s="38">
        <f t="shared" si="4"/>
        <v>5.7040000000000006</v>
      </c>
      <c r="G14" s="2"/>
      <c r="H14" s="36" t="s">
        <v>7</v>
      </c>
      <c r="I14" s="4">
        <v>2729948.4</v>
      </c>
      <c r="J14" s="10">
        <v>1814</v>
      </c>
      <c r="K14" s="2" t="s">
        <v>43</v>
      </c>
      <c r="L14" s="60">
        <f t="shared" si="5"/>
        <v>1.6800000000000002</v>
      </c>
      <c r="M14" s="60">
        <f t="shared" si="0"/>
        <v>2.67</v>
      </c>
      <c r="N14" s="60">
        <f t="shared" si="0"/>
        <v>2.1</v>
      </c>
      <c r="O14" s="60">
        <f t="shared" si="0"/>
        <v>2.0699999999999998</v>
      </c>
      <c r="P14" s="2"/>
      <c r="Q14" s="2"/>
      <c r="R14" s="8"/>
      <c r="S14" s="8"/>
      <c r="T14" s="8"/>
      <c r="U14" s="8"/>
      <c r="AL14" s="10"/>
      <c r="AM14" s="10"/>
      <c r="AN14" s="10"/>
      <c r="AO14" s="10"/>
    </row>
    <row r="15" spans="1:49" x14ac:dyDescent="0.25">
      <c r="B15" s="35" t="s">
        <v>8</v>
      </c>
      <c r="C15" s="38">
        <f t="shared" si="1"/>
        <v>5.7040000000000006</v>
      </c>
      <c r="D15" s="38">
        <f t="shared" si="2"/>
        <v>5.6960000000000006</v>
      </c>
      <c r="E15" s="38">
        <f t="shared" si="3"/>
        <v>5.7040000000000006</v>
      </c>
      <c r="F15" s="38">
        <f t="shared" si="4"/>
        <v>5.7040000000000006</v>
      </c>
      <c r="G15" s="2"/>
      <c r="H15" s="35" t="s">
        <v>8</v>
      </c>
      <c r="I15" s="4">
        <v>1383173.8560000001</v>
      </c>
      <c r="J15" s="2"/>
      <c r="K15" s="2"/>
      <c r="L15" s="60">
        <f t="shared" si="5"/>
        <v>1.98</v>
      </c>
      <c r="M15" s="60">
        <f t="shared" si="0"/>
        <v>1.9700000000000002</v>
      </c>
      <c r="N15" s="60">
        <f t="shared" si="0"/>
        <v>1.9</v>
      </c>
      <c r="O15" s="60">
        <f t="shared" si="0"/>
        <v>1.9500000000000002</v>
      </c>
      <c r="P15" s="2"/>
      <c r="Q15" s="2"/>
      <c r="R15" s="8"/>
      <c r="S15" s="8"/>
      <c r="T15" s="8"/>
      <c r="U15" s="8"/>
      <c r="AL15" s="10"/>
      <c r="AM15" s="10"/>
      <c r="AN15" s="10"/>
      <c r="AO15" s="10"/>
    </row>
    <row r="16" spans="1:49" x14ac:dyDescent="0.25">
      <c r="B16" s="36" t="s">
        <v>0</v>
      </c>
      <c r="C16" s="38">
        <f t="shared" si="1"/>
        <v>5.5760000000000005</v>
      </c>
      <c r="D16" s="38">
        <f t="shared" si="2"/>
        <v>5.5920000000000005</v>
      </c>
      <c r="E16" s="38">
        <f t="shared" si="3"/>
        <v>5.68</v>
      </c>
      <c r="F16" s="38">
        <f t="shared" si="4"/>
        <v>5.6880000000000006</v>
      </c>
      <c r="G16" s="2"/>
      <c r="H16" s="36" t="s">
        <v>0</v>
      </c>
      <c r="I16" s="4">
        <v>7507358.0999999996</v>
      </c>
      <c r="J16" s="2"/>
      <c r="K16" s="2"/>
      <c r="L16" s="60">
        <f t="shared" si="5"/>
        <v>0.98</v>
      </c>
      <c r="M16" s="60">
        <f t="shared" si="0"/>
        <v>0.98</v>
      </c>
      <c r="N16" s="60">
        <f t="shared" si="0"/>
        <v>1.1200000000000001</v>
      </c>
      <c r="O16" s="60">
        <f t="shared" si="0"/>
        <v>0.90999999999999992</v>
      </c>
      <c r="P16" s="2"/>
      <c r="Q16" s="2"/>
      <c r="R16" s="8"/>
      <c r="S16" s="8"/>
      <c r="T16" s="8"/>
      <c r="U16" s="8"/>
      <c r="AL16" s="12">
        <v>363993.26400000002</v>
      </c>
      <c r="AM16" s="12">
        <v>339726.91200000001</v>
      </c>
      <c r="AN16" s="12">
        <v>14559.7248</v>
      </c>
      <c r="AO16" s="12">
        <v>36399.311999999998</v>
      </c>
    </row>
    <row r="17" spans="1:41" x14ac:dyDescent="0.25">
      <c r="B17" s="35" t="s">
        <v>9</v>
      </c>
      <c r="C17" s="38">
        <f t="shared" si="1"/>
        <v>5.7200000000000006</v>
      </c>
      <c r="D17" s="38">
        <f t="shared" si="2"/>
        <v>5.6880000000000006</v>
      </c>
      <c r="E17" s="38">
        <f t="shared" si="3"/>
        <v>5.7040000000000006</v>
      </c>
      <c r="F17" s="38">
        <f t="shared" si="4"/>
        <v>5.7200000000000006</v>
      </c>
      <c r="G17" s="2"/>
      <c r="H17" s="35" t="s">
        <v>9</v>
      </c>
      <c r="I17" s="4">
        <v>2707198.83</v>
      </c>
      <c r="J17" s="2"/>
      <c r="K17" s="2"/>
      <c r="L17" s="60">
        <f t="shared" si="5"/>
        <v>1.6800000000000002</v>
      </c>
      <c r="M17" s="60">
        <f t="shared" si="0"/>
        <v>2.67</v>
      </c>
      <c r="N17" s="60">
        <f t="shared" si="0"/>
        <v>2.1</v>
      </c>
      <c r="O17" s="60">
        <f t="shared" si="0"/>
        <v>2.0699999999999998</v>
      </c>
      <c r="P17" s="2"/>
      <c r="Q17" s="2"/>
      <c r="R17" s="8"/>
      <c r="S17" s="8"/>
      <c r="T17" s="8"/>
      <c r="U17" s="8"/>
      <c r="AL17" s="13">
        <v>19412.966400000001</v>
      </c>
      <c r="AM17" s="13">
        <v>24266.208000000002</v>
      </c>
      <c r="AN17" s="13">
        <v>20626.276800000003</v>
      </c>
      <c r="AO17" s="13">
        <v>9706.4832000000006</v>
      </c>
    </row>
    <row r="18" spans="1:41" x14ac:dyDescent="0.25">
      <c r="B18" s="36" t="s">
        <v>10</v>
      </c>
      <c r="C18" s="38">
        <f t="shared" si="1"/>
        <v>5.7040000000000006</v>
      </c>
      <c r="D18" s="38">
        <f t="shared" si="2"/>
        <v>5.7040000000000006</v>
      </c>
      <c r="E18" s="38">
        <f t="shared" si="3"/>
        <v>5.7119999999999997</v>
      </c>
      <c r="F18" s="38">
        <f t="shared" si="4"/>
        <v>5.5760000000000005</v>
      </c>
      <c r="G18" s="2"/>
      <c r="H18" s="36" t="s">
        <v>10</v>
      </c>
      <c r="I18" s="4">
        <v>1128378.6720000003</v>
      </c>
      <c r="J18" s="2"/>
      <c r="K18" s="2"/>
      <c r="L18" s="60">
        <f t="shared" si="5"/>
        <v>0.98</v>
      </c>
      <c r="M18" s="60">
        <f t="shared" si="0"/>
        <v>0.98</v>
      </c>
      <c r="N18" s="60">
        <f t="shared" si="0"/>
        <v>1.1200000000000001</v>
      </c>
      <c r="O18" s="60">
        <f t="shared" si="0"/>
        <v>0.90999999999999992</v>
      </c>
      <c r="P18" s="2"/>
      <c r="Q18" s="2"/>
      <c r="R18" s="8"/>
      <c r="S18" s="8"/>
      <c r="T18" s="8"/>
      <c r="U18" s="8"/>
      <c r="AL18" s="12">
        <v>354893.28</v>
      </c>
      <c r="AM18" s="12">
        <v>331233.73200000002</v>
      </c>
      <c r="AN18" s="12">
        <v>6551.8761599999998</v>
      </c>
      <c r="AO18" s="12">
        <v>16379.690399999999</v>
      </c>
    </row>
    <row r="19" spans="1:41" ht="15.75" thickBot="1" x14ac:dyDescent="0.3">
      <c r="A19" s="20" t="s">
        <v>50</v>
      </c>
      <c r="B19" s="21" t="s">
        <v>51</v>
      </c>
      <c r="C19" s="21" t="s">
        <v>52</v>
      </c>
      <c r="D19" s="21" t="s">
        <v>53</v>
      </c>
      <c r="E19" s="21" t="s">
        <v>54</v>
      </c>
      <c r="F19" s="21" t="s">
        <v>55</v>
      </c>
      <c r="G19" s="21" t="s">
        <v>56</v>
      </c>
      <c r="H19" s="22" t="s">
        <v>57</v>
      </c>
      <c r="I19" s="2"/>
      <c r="J19" s="2"/>
      <c r="K19" s="2"/>
      <c r="L19" s="4" t="s">
        <v>3</v>
      </c>
      <c r="M19" s="4">
        <v>2016</v>
      </c>
      <c r="N19" s="4">
        <v>2017</v>
      </c>
      <c r="O19" s="4">
        <v>2018</v>
      </c>
      <c r="P19" s="4">
        <v>2019</v>
      </c>
      <c r="Q19" s="4" t="s">
        <v>154</v>
      </c>
      <c r="R19" s="4" t="s">
        <v>155</v>
      </c>
      <c r="S19" s="4" t="s">
        <v>174</v>
      </c>
      <c r="T19" s="4" t="s">
        <v>152</v>
      </c>
      <c r="AL19" s="13">
        <v>36399.311999999998</v>
      </c>
      <c r="AM19" s="13">
        <v>16379.690399999999</v>
      </c>
      <c r="AN19" s="13">
        <v>16379.690399999999</v>
      </c>
      <c r="AO19" s="13">
        <v>16379.690399999999</v>
      </c>
    </row>
    <row r="20" spans="1:41" x14ac:dyDescent="0.25">
      <c r="A20" s="15">
        <v>7.13</v>
      </c>
      <c r="B20" s="12">
        <v>7.12</v>
      </c>
      <c r="C20" s="12">
        <v>7.12</v>
      </c>
      <c r="D20" s="12">
        <v>6.78</v>
      </c>
      <c r="E20" s="12">
        <v>17.13</v>
      </c>
      <c r="F20" s="12">
        <v>16.97</v>
      </c>
      <c r="G20" s="12">
        <v>17.149999999999999</v>
      </c>
      <c r="H20" s="18">
        <v>17.13</v>
      </c>
      <c r="L20" s="3" t="s">
        <v>4</v>
      </c>
      <c r="M20" s="10">
        <v>9.4347826086956523</v>
      </c>
      <c r="N20" s="10">
        <v>10.802721088435375</v>
      </c>
      <c r="O20" s="10">
        <v>10.944444444444445</v>
      </c>
      <c r="P20" s="10">
        <v>9.0505050505050519</v>
      </c>
      <c r="Q20" s="10">
        <v>10.094496428347361</v>
      </c>
      <c r="R20" s="10">
        <v>8.0464906384161043</v>
      </c>
      <c r="S20" s="10">
        <v>10.116892079625</v>
      </c>
      <c r="T20" s="10">
        <v>10.235379527304994</v>
      </c>
      <c r="AL20" s="12">
        <v>409492.2</v>
      </c>
      <c r="AM20" s="12">
        <v>382192.68</v>
      </c>
      <c r="AN20" s="12">
        <v>6551.8761599999998</v>
      </c>
      <c r="AO20" s="12">
        <v>16379.690399999999</v>
      </c>
    </row>
    <row r="21" spans="1:41" x14ac:dyDescent="0.25">
      <c r="A21" s="16">
        <v>7.12</v>
      </c>
      <c r="B21" s="13">
        <v>7.13</v>
      </c>
      <c r="C21" s="13">
        <v>7.14</v>
      </c>
      <c r="D21" s="13">
        <v>6.86</v>
      </c>
      <c r="E21" s="13">
        <v>17.13</v>
      </c>
      <c r="F21" s="13">
        <v>17.12</v>
      </c>
      <c r="G21" s="13">
        <v>17.13</v>
      </c>
      <c r="H21" s="19">
        <v>17.149999999999999</v>
      </c>
      <c r="L21" s="3" t="s">
        <v>5</v>
      </c>
      <c r="M21" s="10">
        <v>10.578947368421051</v>
      </c>
      <c r="N21" s="10">
        <v>11.142857142857142</v>
      </c>
      <c r="O21" s="10">
        <v>11.936507936507937</v>
      </c>
      <c r="P21" s="10">
        <v>10.172839506172842</v>
      </c>
      <c r="Q21" s="10">
        <v>10.899656548779355</v>
      </c>
      <c r="R21" s="10">
        <v>8.7662303907917956</v>
      </c>
      <c r="S21" s="10">
        <v>11.055462730901327</v>
      </c>
      <c r="T21" s="10">
        <v>11.153531978093381</v>
      </c>
      <c r="AL21" s="13">
        <v>8735.8348800000003</v>
      </c>
      <c r="AM21" s="13">
        <v>27299.483999999997</v>
      </c>
      <c r="AN21" s="13">
        <v>9281.8245599999991</v>
      </c>
      <c r="AO21" s="13">
        <v>4367.9174400000002</v>
      </c>
    </row>
    <row r="22" spans="1:41" x14ac:dyDescent="0.25">
      <c r="A22" s="15">
        <v>7.13</v>
      </c>
      <c r="B22" s="12">
        <v>7.15</v>
      </c>
      <c r="C22" s="12">
        <v>7.13</v>
      </c>
      <c r="D22" s="12">
        <v>7.11</v>
      </c>
      <c r="E22" s="12">
        <v>17.12</v>
      </c>
      <c r="F22" s="12">
        <v>17.13</v>
      </c>
      <c r="G22" s="12">
        <v>17.149999999999999</v>
      </c>
      <c r="H22" s="18">
        <v>17.14</v>
      </c>
      <c r="L22" s="3" t="s">
        <v>6</v>
      </c>
      <c r="M22" s="10">
        <v>10.944444444444445</v>
      </c>
      <c r="N22" s="10">
        <v>10.802721088435373</v>
      </c>
      <c r="O22" s="10">
        <v>12.33333333333333</v>
      </c>
      <c r="P22" s="10">
        <v>9.84795321637427</v>
      </c>
      <c r="Q22" s="10">
        <v>10.916994868122686</v>
      </c>
      <c r="R22" s="10">
        <v>8.7856904165174843</v>
      </c>
      <c r="S22" s="10">
        <v>11.111916696503162</v>
      </c>
      <c r="T22" s="10">
        <v>11.252357083184149</v>
      </c>
      <c r="AL22" s="12">
        <v>24266.208000000002</v>
      </c>
      <c r="AM22" s="12">
        <v>23659.552800000005</v>
      </c>
      <c r="AN22" s="12">
        <v>27299.483999999997</v>
      </c>
      <c r="AO22">
        <v>25479.518399999997</v>
      </c>
    </row>
    <row r="23" spans="1:41" x14ac:dyDescent="0.25">
      <c r="A23" s="16">
        <v>7.15</v>
      </c>
      <c r="B23" s="13">
        <v>7.14</v>
      </c>
      <c r="C23" s="13">
        <v>6.97</v>
      </c>
      <c r="D23" s="13">
        <v>7.13</v>
      </c>
      <c r="E23" s="13">
        <v>17.12</v>
      </c>
      <c r="F23" s="13">
        <v>16.990000000000002</v>
      </c>
      <c r="G23" s="13">
        <v>17.11</v>
      </c>
      <c r="H23" s="19">
        <v>17.13</v>
      </c>
      <c r="L23" s="3" t="s">
        <v>7</v>
      </c>
      <c r="M23" s="10">
        <v>10.578947368421051</v>
      </c>
      <c r="N23" s="10">
        <v>11.142857142857144</v>
      </c>
      <c r="O23" s="10">
        <v>11.936507936507937</v>
      </c>
      <c r="P23" s="10">
        <v>10.17283950617284</v>
      </c>
      <c r="Q23" s="10">
        <v>10.899656548779355</v>
      </c>
      <c r="R23" s="10">
        <v>8.7662303907917956</v>
      </c>
      <c r="S23" s="10">
        <v>11.055462730901327</v>
      </c>
      <c r="T23" s="10">
        <v>11.153531978093381</v>
      </c>
      <c r="AL23" s="13">
        <v>9281.8245599999991</v>
      </c>
      <c r="AM23" s="13">
        <v>9281.8245599999991</v>
      </c>
      <c r="AN23" s="13">
        <v>4367.9174400000002</v>
      </c>
      <c r="AO23" s="13">
        <v>4336</v>
      </c>
    </row>
    <row r="24" spans="1:41" x14ac:dyDescent="0.25">
      <c r="A24" s="15">
        <v>7.13</v>
      </c>
      <c r="B24" s="12">
        <v>7.12</v>
      </c>
      <c r="C24" s="12">
        <v>7.13</v>
      </c>
      <c r="D24" s="12">
        <v>7.13</v>
      </c>
      <c r="E24" s="12">
        <v>17.12</v>
      </c>
      <c r="F24" s="12">
        <v>17.14</v>
      </c>
      <c r="G24" s="12">
        <v>17.13</v>
      </c>
      <c r="H24" s="18">
        <v>16.97</v>
      </c>
      <c r="L24" s="3" t="s">
        <v>8</v>
      </c>
      <c r="M24" s="10">
        <v>10.25</v>
      </c>
      <c r="N24" s="10">
        <v>10.802721088435376</v>
      </c>
      <c r="O24" s="10">
        <v>12.33333333333333</v>
      </c>
      <c r="P24" s="10">
        <v>9.84795321637427</v>
      </c>
      <c r="Q24" s="10">
        <v>10.639217090344911</v>
      </c>
      <c r="R24" s="10">
        <v>8.6468015276285968</v>
      </c>
      <c r="S24" s="10">
        <v>10.986916696503163</v>
      </c>
      <c r="T24" s="10">
        <v>11.113468194295264</v>
      </c>
    </row>
    <row r="25" spans="1:41" x14ac:dyDescent="0.25">
      <c r="A25" s="16">
        <v>6.97</v>
      </c>
      <c r="B25" s="13">
        <v>6.99</v>
      </c>
      <c r="C25" s="13">
        <v>7.1</v>
      </c>
      <c r="D25" s="13">
        <v>7.11</v>
      </c>
      <c r="E25" s="13">
        <v>17.13</v>
      </c>
      <c r="F25" s="13">
        <v>17.11</v>
      </c>
      <c r="G25" s="13">
        <v>17.149999999999999</v>
      </c>
      <c r="H25" s="19">
        <v>16.97</v>
      </c>
      <c r="L25" s="3" t="s">
        <v>164</v>
      </c>
      <c r="M25" s="10">
        <v>9.4347826086956523</v>
      </c>
      <c r="N25" s="10">
        <v>10.802721088435373</v>
      </c>
      <c r="O25" s="10">
        <v>10.944444444444446</v>
      </c>
      <c r="P25" s="10">
        <v>11.575757575757574</v>
      </c>
      <c r="Q25" s="10">
        <v>10.347021680872613</v>
      </c>
      <c r="R25" s="10">
        <v>8.5515411434666095</v>
      </c>
      <c r="S25" s="10">
        <v>10.823962786695708</v>
      </c>
      <c r="T25" s="10">
        <v>10.7404300323555</v>
      </c>
    </row>
    <row r="26" spans="1:41" x14ac:dyDescent="0.25">
      <c r="A26" s="15">
        <v>7.15</v>
      </c>
      <c r="B26" s="12">
        <v>7.11</v>
      </c>
      <c r="C26" s="12">
        <v>7.13</v>
      </c>
      <c r="D26" s="12">
        <v>7.15</v>
      </c>
      <c r="E26" s="12">
        <v>17.13</v>
      </c>
      <c r="F26" s="12">
        <v>17.100000000000001</v>
      </c>
      <c r="G26" s="12">
        <v>17.13</v>
      </c>
      <c r="H26" s="18">
        <v>17.14</v>
      </c>
      <c r="L26" s="3" t="s">
        <v>9</v>
      </c>
      <c r="M26" s="10">
        <v>10.578947368421051</v>
      </c>
      <c r="N26" s="10">
        <v>11.142857142857142</v>
      </c>
      <c r="O26" s="10">
        <v>11.936507936507937</v>
      </c>
      <c r="P26" s="10">
        <v>10.17283950617284</v>
      </c>
      <c r="Q26" s="10">
        <v>10.899656548779355</v>
      </c>
      <c r="R26" s="10">
        <v>8.7662303907917956</v>
      </c>
      <c r="S26" s="10">
        <v>11.055462730901327</v>
      </c>
      <c r="T26" s="10">
        <v>11.153531978093381</v>
      </c>
    </row>
    <row r="27" spans="1:41" x14ac:dyDescent="0.25">
      <c r="A27" s="23">
        <v>7.13</v>
      </c>
      <c r="B27" s="24">
        <v>7.13</v>
      </c>
      <c r="C27" s="24">
        <v>7.14</v>
      </c>
      <c r="D27" s="24">
        <v>6.97</v>
      </c>
      <c r="E27" s="24">
        <v>16.78</v>
      </c>
      <c r="F27" s="24">
        <v>16.86</v>
      </c>
      <c r="G27" s="24">
        <v>17.11</v>
      </c>
      <c r="H27" s="25">
        <v>17.13</v>
      </c>
      <c r="L27" s="3" t="s">
        <v>163</v>
      </c>
      <c r="M27" s="10">
        <v>9.4347826086956523</v>
      </c>
      <c r="N27" s="10">
        <v>10.802721088435373</v>
      </c>
      <c r="O27" s="10">
        <v>10.944444444444443</v>
      </c>
      <c r="P27" s="10">
        <v>9.0505050505050519</v>
      </c>
      <c r="Q27" s="10">
        <v>10.094496428347361</v>
      </c>
      <c r="R27" s="10">
        <v>8.0464906384161043</v>
      </c>
      <c r="S27" s="10">
        <v>10.116892079624998</v>
      </c>
      <c r="T27" s="10">
        <v>10.235379527304993</v>
      </c>
    </row>
    <row r="31" spans="1:41" ht="15.75" thickBot="1" x14ac:dyDescent="0.3">
      <c r="A31" s="14" t="s">
        <v>3</v>
      </c>
      <c r="B31" s="4" t="s">
        <v>58</v>
      </c>
      <c r="C31" s="4" t="s">
        <v>59</v>
      </c>
      <c r="D31" s="4" t="s">
        <v>60</v>
      </c>
      <c r="E31" s="4" t="s">
        <v>61</v>
      </c>
      <c r="F31" s="26" t="s">
        <v>62</v>
      </c>
      <c r="G31" s="26" t="s">
        <v>63</v>
      </c>
      <c r="H31" s="26" t="s">
        <v>64</v>
      </c>
      <c r="I31" s="26" t="s">
        <v>65</v>
      </c>
      <c r="J31" s="26" t="s">
        <v>67</v>
      </c>
      <c r="K31" s="26" t="s">
        <v>68</v>
      </c>
      <c r="L31" s="26" t="s">
        <v>69</v>
      </c>
      <c r="M31" s="26" t="s">
        <v>70</v>
      </c>
      <c r="N31" s="26" t="s">
        <v>71</v>
      </c>
      <c r="O31" s="26" t="s">
        <v>72</v>
      </c>
      <c r="P31" s="26" t="s">
        <v>73</v>
      </c>
      <c r="Q31" s="26" t="s">
        <v>74</v>
      </c>
      <c r="R31" s="26" t="s">
        <v>76</v>
      </c>
      <c r="S31" s="26" t="s">
        <v>77</v>
      </c>
      <c r="T31" s="26" t="s">
        <v>78</v>
      </c>
      <c r="U31" s="26" t="s">
        <v>79</v>
      </c>
    </row>
    <row r="32" spans="1:41" x14ac:dyDescent="0.25">
      <c r="A32" s="33" t="s">
        <v>4</v>
      </c>
      <c r="B32" s="8">
        <f>V2</f>
        <v>22749579</v>
      </c>
      <c r="C32" s="8">
        <f>W2</f>
        <v>29574440</v>
      </c>
      <c r="D32" s="8">
        <f>X2</f>
        <v>34124350</v>
      </c>
      <c r="E32" s="8">
        <f>Y2</f>
        <v>21849398</v>
      </c>
      <c r="F32" s="27">
        <v>0.02</v>
      </c>
      <c r="G32" s="28">
        <v>2.1000000000000001E-2</v>
      </c>
      <c r="H32" s="28">
        <v>2.1000000000000001E-2</v>
      </c>
      <c r="I32" s="28">
        <v>1.9699999999999999E-2</v>
      </c>
      <c r="J32" s="27">
        <v>0.97</v>
      </c>
      <c r="K32" s="27">
        <v>0.98</v>
      </c>
      <c r="L32" s="27">
        <v>0.99</v>
      </c>
      <c r="M32" s="27">
        <v>0.97</v>
      </c>
      <c r="N32" s="27">
        <v>0.9</v>
      </c>
      <c r="O32" s="27">
        <v>0.91</v>
      </c>
      <c r="P32" s="27">
        <v>0.9</v>
      </c>
      <c r="Q32" s="27">
        <v>0.94</v>
      </c>
      <c r="R32" s="28">
        <v>1.8700000000000001E-2</v>
      </c>
      <c r="S32" s="28">
        <v>2.0299999999999901E-2</v>
      </c>
      <c r="T32" s="28">
        <v>1.89E-2</v>
      </c>
      <c r="U32" s="28">
        <v>1.9699999999999999E-2</v>
      </c>
    </row>
    <row r="33" spans="1:24" x14ac:dyDescent="0.25">
      <c r="A33" s="34" t="s">
        <v>5</v>
      </c>
      <c r="B33" s="8">
        <f t="shared" ref="B33:B39" si="6">V3</f>
        <v>21232932</v>
      </c>
      <c r="C33" s="8">
        <f t="shared" ref="C33:C39" si="7">W3</f>
        <v>27602811</v>
      </c>
      <c r="D33" s="8">
        <f t="shared" ref="D33:D39" si="8">X3</f>
        <v>31849390</v>
      </c>
      <c r="E33" s="8">
        <f t="shared" ref="E33:E39" si="9">Y3</f>
        <v>29726100</v>
      </c>
      <c r="F33" s="28">
        <v>2.0500000000000001E-2</v>
      </c>
      <c r="G33" s="28">
        <v>2.01E-2</v>
      </c>
      <c r="H33" s="28">
        <v>2.0899999999999998E-2</v>
      </c>
      <c r="I33" s="28">
        <v>2.12E-2</v>
      </c>
      <c r="J33" s="27">
        <v>0.97</v>
      </c>
      <c r="K33" s="27">
        <v>0.97</v>
      </c>
      <c r="L33" s="27">
        <v>0.97</v>
      </c>
      <c r="M33" s="27">
        <v>0.97</v>
      </c>
      <c r="N33" s="27">
        <v>0.91</v>
      </c>
      <c r="O33" s="27">
        <v>0.93</v>
      </c>
      <c r="P33" s="27">
        <v>0.9</v>
      </c>
      <c r="Q33" s="27">
        <v>0.94</v>
      </c>
      <c r="R33" s="28">
        <v>2.0199999999999899E-2</v>
      </c>
      <c r="S33" s="28">
        <v>1.9099999999999999E-2</v>
      </c>
      <c r="T33" s="28">
        <v>2.0299999999999901E-2</v>
      </c>
      <c r="U33" s="28">
        <v>2.0966666666666502E-2</v>
      </c>
    </row>
    <row r="34" spans="1:24" x14ac:dyDescent="0.25">
      <c r="A34" s="33" t="s">
        <v>6</v>
      </c>
      <c r="B34" s="8">
        <f t="shared" si="6"/>
        <v>909982.79999999993</v>
      </c>
      <c r="C34" s="8">
        <f t="shared" si="7"/>
        <v>545989.67999999993</v>
      </c>
      <c r="D34" s="8">
        <f t="shared" si="8"/>
        <v>545989.67999999993</v>
      </c>
      <c r="E34" s="8">
        <f t="shared" si="9"/>
        <v>545989.67999999993</v>
      </c>
      <c r="F34" s="27">
        <v>2.1000000000000001E-2</v>
      </c>
      <c r="G34" s="28">
        <v>1.9199999999999998E-2</v>
      </c>
      <c r="H34" s="28">
        <v>2.06E-2</v>
      </c>
      <c r="I34" s="28">
        <v>2.0299999999999999E-2</v>
      </c>
      <c r="J34" s="27">
        <v>0.99</v>
      </c>
      <c r="K34" s="27">
        <v>0.99</v>
      </c>
      <c r="L34" s="27">
        <v>0.98</v>
      </c>
      <c r="M34" s="27">
        <v>0.98</v>
      </c>
      <c r="N34" s="27">
        <v>0.93</v>
      </c>
      <c r="O34" s="27">
        <v>0.9</v>
      </c>
      <c r="P34" s="27">
        <v>0.91</v>
      </c>
      <c r="Q34" s="27">
        <v>0.9</v>
      </c>
      <c r="R34" s="28">
        <v>1.9800000000000002E-2</v>
      </c>
      <c r="S34" s="28">
        <v>1.9599999999999999E-2</v>
      </c>
      <c r="T34" s="28">
        <v>2.1699999999999799E-2</v>
      </c>
      <c r="U34" s="28">
        <v>2.0399999999999901E-2</v>
      </c>
    </row>
    <row r="35" spans="1:24" x14ac:dyDescent="0.25">
      <c r="A35" s="34" t="s">
        <v>7</v>
      </c>
      <c r="B35" s="8">
        <f t="shared" si="6"/>
        <v>2274957</v>
      </c>
      <c r="C35" s="8">
        <f t="shared" si="7"/>
        <v>1364974.2</v>
      </c>
      <c r="D35" s="8">
        <f t="shared" si="8"/>
        <v>1364974.2</v>
      </c>
      <c r="E35" s="8">
        <f t="shared" si="9"/>
        <v>1364974.2</v>
      </c>
      <c r="F35" s="28">
        <v>2.0799999999999999E-2</v>
      </c>
      <c r="G35" s="28">
        <v>1.9800000000000002E-2</v>
      </c>
      <c r="H35" s="28">
        <v>2.04333333333333E-2</v>
      </c>
      <c r="I35" s="28">
        <v>2.1000000000000001E-2</v>
      </c>
      <c r="J35" s="27">
        <v>0.97</v>
      </c>
      <c r="K35" s="27">
        <v>0.97</v>
      </c>
      <c r="L35" s="27">
        <v>0.97</v>
      </c>
      <c r="M35" s="27">
        <v>0.97</v>
      </c>
      <c r="N35" s="27">
        <v>0.91</v>
      </c>
      <c r="O35" s="27">
        <v>0.94</v>
      </c>
      <c r="P35" s="27">
        <v>0.93</v>
      </c>
      <c r="Q35" s="27">
        <v>0.94</v>
      </c>
      <c r="R35" s="28">
        <v>2.0666666666666601E-2</v>
      </c>
      <c r="S35" s="28">
        <v>1.8966666666666701E-2</v>
      </c>
      <c r="T35" s="28">
        <v>2.04999999999999E-2</v>
      </c>
      <c r="U35" s="28">
        <v>2.05999999999999E-2</v>
      </c>
    </row>
    <row r="36" spans="1:24" x14ac:dyDescent="0.25">
      <c r="A36" s="33" t="s">
        <v>8</v>
      </c>
      <c r="B36" s="8">
        <f t="shared" si="6"/>
        <v>1213310.4000000001</v>
      </c>
      <c r="C36" s="8">
        <f t="shared" si="7"/>
        <v>727986.24000000011</v>
      </c>
      <c r="D36" s="8">
        <f t="shared" si="8"/>
        <v>727986.24000000011</v>
      </c>
      <c r="E36" s="8">
        <f t="shared" si="9"/>
        <v>727986.24000000011</v>
      </c>
      <c r="F36" s="28">
        <v>3.0599999999999999E-2</v>
      </c>
      <c r="G36" s="28">
        <v>2.0199999999999999E-2</v>
      </c>
      <c r="H36" s="28">
        <v>2.0233333333333301E-2</v>
      </c>
      <c r="I36" s="28">
        <v>2.07E-2</v>
      </c>
      <c r="J36" s="27">
        <v>0.98</v>
      </c>
      <c r="K36" s="27">
        <v>0.98</v>
      </c>
      <c r="L36" s="27">
        <v>0.99</v>
      </c>
      <c r="M36" s="27">
        <v>0.97</v>
      </c>
      <c r="N36" s="27">
        <v>0.93</v>
      </c>
      <c r="O36" s="27">
        <v>0.93500000000000005</v>
      </c>
      <c r="P36" s="27">
        <v>0.9</v>
      </c>
      <c r="Q36" s="27">
        <v>0.92</v>
      </c>
      <c r="R36" s="28">
        <v>2.1216666666666599E-2</v>
      </c>
      <c r="S36" s="28">
        <v>1.9E-2</v>
      </c>
      <c r="T36" s="28">
        <v>1.9800000000000002E-2</v>
      </c>
      <c r="U36" s="28">
        <v>2.0699999999999899E-2</v>
      </c>
    </row>
    <row r="37" spans="1:24" x14ac:dyDescent="0.25">
      <c r="A37" s="34" t="s">
        <v>0</v>
      </c>
      <c r="B37" s="8">
        <f t="shared" si="6"/>
        <v>1516638</v>
      </c>
      <c r="C37" s="8">
        <f t="shared" si="7"/>
        <v>1971629.4000000001</v>
      </c>
      <c r="D37" s="8">
        <f t="shared" si="8"/>
        <v>2274957</v>
      </c>
      <c r="E37" s="8">
        <f t="shared" si="9"/>
        <v>2123293.1999999997</v>
      </c>
      <c r="F37" s="28">
        <v>0.02</v>
      </c>
      <c r="G37" s="28">
        <v>1.9800000000000002E-2</v>
      </c>
      <c r="H37" s="28">
        <v>1.9599999999999999E-2</v>
      </c>
      <c r="I37" s="28">
        <v>2.0400000000000001E-2</v>
      </c>
      <c r="J37" s="27">
        <v>0.98</v>
      </c>
      <c r="K37" s="27">
        <v>0.95</v>
      </c>
      <c r="L37" s="27">
        <v>0.95</v>
      </c>
      <c r="M37" s="27">
        <v>0.99</v>
      </c>
      <c r="N37" s="27">
        <v>0.9</v>
      </c>
      <c r="O37" s="27">
        <v>0.94099999999999995</v>
      </c>
      <c r="P37" s="27">
        <v>0.94</v>
      </c>
      <c r="Q37" s="27">
        <v>0.91600000000000004</v>
      </c>
      <c r="R37" s="28">
        <v>1.95E-2</v>
      </c>
      <c r="S37" s="28">
        <v>2.0099999999999899E-2</v>
      </c>
      <c r="T37" s="28">
        <v>1.9900000000000001E-2</v>
      </c>
      <c r="U37" s="28">
        <v>1.9199999999999998E-2</v>
      </c>
    </row>
    <row r="38" spans="1:24" x14ac:dyDescent="0.25">
      <c r="A38" s="33" t="s">
        <v>9</v>
      </c>
      <c r="B38" s="8">
        <f t="shared" si="6"/>
        <v>1289142.3</v>
      </c>
      <c r="C38" s="8">
        <f t="shared" si="7"/>
        <v>773485.38</v>
      </c>
      <c r="D38" s="8">
        <f t="shared" si="8"/>
        <v>773485.38</v>
      </c>
      <c r="E38" s="8">
        <f t="shared" si="9"/>
        <v>773485.38</v>
      </c>
      <c r="F38" s="28">
        <v>2.86E-2</v>
      </c>
      <c r="G38" s="28">
        <v>1.95066666666667E-2</v>
      </c>
      <c r="H38" s="28">
        <v>2.1100000000000001E-2</v>
      </c>
      <c r="I38" s="28">
        <v>2.0820000000000002E-2</v>
      </c>
      <c r="J38" s="27">
        <v>0.97</v>
      </c>
      <c r="K38" s="27">
        <v>0.99</v>
      </c>
      <c r="L38" s="27">
        <v>0.97</v>
      </c>
      <c r="M38" s="27">
        <v>0.97</v>
      </c>
      <c r="N38" s="27">
        <v>0.94</v>
      </c>
      <c r="O38" s="27">
        <v>0.9</v>
      </c>
      <c r="P38" s="27">
        <v>0.93</v>
      </c>
      <c r="Q38" s="27">
        <v>0.91200000000000003</v>
      </c>
      <c r="R38" s="28">
        <v>2.0799999999999898E-2</v>
      </c>
      <c r="S38" s="28">
        <v>1.9300000000000001E-2</v>
      </c>
      <c r="T38" s="28">
        <v>1.8799999999999997E-2</v>
      </c>
      <c r="U38" s="28">
        <v>1.9349999999999999E-2</v>
      </c>
    </row>
    <row r="39" spans="1:24" x14ac:dyDescent="0.25">
      <c r="A39" s="34" t="s">
        <v>10</v>
      </c>
      <c r="B39" s="8">
        <f t="shared" si="6"/>
        <v>606655.20000000007</v>
      </c>
      <c r="C39" s="8">
        <f t="shared" si="7"/>
        <v>363993.12000000005</v>
      </c>
      <c r="D39" s="8">
        <f t="shared" si="8"/>
        <v>363993.12000000005</v>
      </c>
      <c r="E39" s="8">
        <f t="shared" si="9"/>
        <v>363993.12000000005</v>
      </c>
      <c r="F39" s="28">
        <v>2.0199999999999999E-2</v>
      </c>
      <c r="G39" s="28">
        <v>1.9900000000000001E-2</v>
      </c>
      <c r="H39" s="28">
        <v>1.9800000000000002E-2</v>
      </c>
      <c r="I39" s="28">
        <v>2.1000000000000001E-2</v>
      </c>
      <c r="J39" s="27">
        <v>1</v>
      </c>
      <c r="K39" s="27">
        <v>0.97</v>
      </c>
      <c r="L39" s="27">
        <v>0.97</v>
      </c>
      <c r="M39" s="27">
        <v>0.97</v>
      </c>
      <c r="N39" s="27">
        <v>0.91</v>
      </c>
      <c r="O39" s="27">
        <v>0.92614285714285705</v>
      </c>
      <c r="P39" s="27">
        <v>0.9</v>
      </c>
      <c r="Q39" s="27">
        <v>0.91</v>
      </c>
      <c r="R39" s="28">
        <v>1.9800000000000002E-2</v>
      </c>
      <c r="S39" s="28">
        <v>1.9800000000000002E-2</v>
      </c>
      <c r="T39" s="28">
        <v>0.02</v>
      </c>
      <c r="U39" s="28">
        <v>1.9400000000000001E-2</v>
      </c>
    </row>
    <row r="42" spans="1:24" ht="15.75" thickBot="1" x14ac:dyDescent="0.3">
      <c r="A42" s="48" t="s">
        <v>110</v>
      </c>
      <c r="B42" s="48" t="s">
        <v>111</v>
      </c>
      <c r="C42" s="48" t="s">
        <v>112</v>
      </c>
      <c r="D42" s="48" t="s">
        <v>113</v>
      </c>
      <c r="E42" s="48" t="s">
        <v>114</v>
      </c>
      <c r="F42" s="48" t="s">
        <v>115</v>
      </c>
      <c r="G42" s="48" t="s">
        <v>116</v>
      </c>
      <c r="H42" s="48" t="s">
        <v>117</v>
      </c>
      <c r="I42" s="50" t="s">
        <v>125</v>
      </c>
      <c r="J42" s="50" t="s">
        <v>126</v>
      </c>
      <c r="K42" s="50" t="s">
        <v>127</v>
      </c>
      <c r="L42" s="50" t="s">
        <v>128</v>
      </c>
      <c r="M42" s="9" t="s">
        <v>132</v>
      </c>
      <c r="N42" s="9" t="s">
        <v>133</v>
      </c>
      <c r="O42" s="9" t="s">
        <v>134</v>
      </c>
      <c r="P42" s="9" t="s">
        <v>135</v>
      </c>
    </row>
    <row r="43" spans="1:24" x14ac:dyDescent="0.25">
      <c r="A43" s="12">
        <v>4.3478260869565215</v>
      </c>
      <c r="B43" s="12">
        <v>4.7619047619047619</v>
      </c>
      <c r="C43" s="12">
        <v>4.166666666666667</v>
      </c>
      <c r="D43" s="12">
        <v>4.5454545454545459</v>
      </c>
      <c r="E43" s="12">
        <v>9.4347826086956523</v>
      </c>
      <c r="F43" s="12">
        <v>10.802721088435375</v>
      </c>
      <c r="G43" s="12">
        <v>10.944444444444445</v>
      </c>
      <c r="H43" s="12">
        <v>9.0505050505050519</v>
      </c>
      <c r="I43" s="27">
        <v>0.98</v>
      </c>
      <c r="J43" s="27">
        <v>0.90714285714285703</v>
      </c>
      <c r="K43" s="27">
        <v>0.9</v>
      </c>
      <c r="L43" s="4" t="s">
        <v>123</v>
      </c>
      <c r="M43" s="11">
        <v>6782873.7000000002</v>
      </c>
      <c r="N43" s="11">
        <v>9542912.9952755906</v>
      </c>
      <c r="O43" s="11">
        <v>11105287.666666666</v>
      </c>
      <c r="P43" s="11" t="s">
        <v>123</v>
      </c>
    </row>
    <row r="44" spans="1:24" x14ac:dyDescent="0.25">
      <c r="A44" s="12">
        <v>5.2631578947368425</v>
      </c>
      <c r="B44" s="12">
        <v>5</v>
      </c>
      <c r="C44" s="12">
        <v>4.7619047619047628</v>
      </c>
      <c r="D44" s="12">
        <v>5.5555555555555554</v>
      </c>
      <c r="E44" s="12">
        <v>10.578947368421051</v>
      </c>
      <c r="F44" s="12">
        <v>11.142857142857142</v>
      </c>
      <c r="G44" s="12">
        <v>11.936507936507937</v>
      </c>
      <c r="H44" s="12">
        <v>10.172839506172842</v>
      </c>
      <c r="I44" s="27">
        <v>0.95</v>
      </c>
      <c r="J44" s="27">
        <v>0.89</v>
      </c>
      <c r="K44" s="27">
        <v>0.93</v>
      </c>
      <c r="L44" s="27">
        <v>0.92</v>
      </c>
      <c r="M44" s="11">
        <v>6529033.6926315771</v>
      </c>
      <c r="N44" s="11">
        <v>9076231.9483146053</v>
      </c>
      <c r="O44" s="11">
        <v>10026516.838709675</v>
      </c>
      <c r="P44" s="11">
        <v>9457427.6086956505</v>
      </c>
    </row>
    <row r="45" spans="1:24" x14ac:dyDescent="0.25">
      <c r="A45" s="12">
        <v>5.5555555555555554</v>
      </c>
      <c r="B45" s="12">
        <v>4.7619047619047619</v>
      </c>
      <c r="C45" s="12">
        <v>5</v>
      </c>
      <c r="D45" s="12">
        <v>5.2631578947368416</v>
      </c>
      <c r="E45" s="12">
        <v>10.944444444444445</v>
      </c>
      <c r="F45" s="12">
        <v>10.802721088435373</v>
      </c>
      <c r="G45" s="12">
        <v>12.33333333333333</v>
      </c>
      <c r="H45" s="12">
        <v>9.84795321637427</v>
      </c>
      <c r="I45" s="27">
        <v>0.96</v>
      </c>
      <c r="J45" s="27">
        <v>0.91</v>
      </c>
      <c r="K45" s="27">
        <v>0.97</v>
      </c>
      <c r="L45" s="27">
        <v>0.98</v>
      </c>
      <c r="M45" s="11">
        <v>236682.23249999995</v>
      </c>
      <c r="N45" s="11">
        <v>134396.6658461538</v>
      </c>
      <c r="O45" s="11">
        <v>123485.53187628899</v>
      </c>
      <c r="P45" s="11">
        <v>121796.90399999998</v>
      </c>
    </row>
    <row r="46" spans="1:24" x14ac:dyDescent="0.25">
      <c r="A46" s="12">
        <v>5.2631578947368416</v>
      </c>
      <c r="B46" s="12">
        <v>5</v>
      </c>
      <c r="C46" s="12">
        <v>4.7619047619047619</v>
      </c>
      <c r="D46" s="12">
        <v>5.5555555555555554</v>
      </c>
      <c r="E46" s="12">
        <v>10.578947368421051</v>
      </c>
      <c r="F46" s="12">
        <v>11.142857142857144</v>
      </c>
      <c r="G46" s="12">
        <v>11.936507936507937</v>
      </c>
      <c r="H46" s="12">
        <v>10.17283950617284</v>
      </c>
      <c r="I46" s="27">
        <v>0.94</v>
      </c>
      <c r="J46" s="27">
        <v>0.93</v>
      </c>
      <c r="K46" s="27">
        <v>0.89971428571428602</v>
      </c>
      <c r="L46" s="27">
        <v>0.93</v>
      </c>
      <c r="M46" s="11">
        <v>669529.10425531911</v>
      </c>
      <c r="N46" s="11">
        <v>389507.97290322575</v>
      </c>
      <c r="O46" s="11">
        <v>404033.16983169242</v>
      </c>
      <c r="P46" s="11">
        <v>389507.97290322575</v>
      </c>
    </row>
    <row r="47" spans="1:24" x14ac:dyDescent="0.25">
      <c r="A47" s="12">
        <v>5</v>
      </c>
      <c r="B47" s="12">
        <v>4.7619047619047628</v>
      </c>
      <c r="C47" s="12">
        <v>5</v>
      </c>
      <c r="D47" s="12">
        <v>5.2631578947368425</v>
      </c>
      <c r="E47" s="12">
        <v>10.25</v>
      </c>
      <c r="F47" s="12">
        <v>10.802721088435376</v>
      </c>
      <c r="G47" s="12">
        <v>12.33333333333333</v>
      </c>
      <c r="H47" s="12">
        <v>9.84795321637427</v>
      </c>
      <c r="I47" s="27">
        <v>0.95</v>
      </c>
      <c r="J47" s="27">
        <v>0.95</v>
      </c>
      <c r="K47" s="27">
        <v>0.95</v>
      </c>
      <c r="L47" s="27">
        <v>0.88</v>
      </c>
      <c r="M47" s="11">
        <v>333487.63957894733</v>
      </c>
      <c r="N47" s="11">
        <v>183292.58374736842</v>
      </c>
      <c r="O47" s="11">
        <v>183292.58374736842</v>
      </c>
      <c r="P47" s="11">
        <v>201213.58472727268</v>
      </c>
      <c r="Q47" s="57" t="s">
        <v>196</v>
      </c>
      <c r="R47" s="57" t="s">
        <v>195</v>
      </c>
      <c r="S47" s="64">
        <v>44137</v>
      </c>
      <c r="T47" s="64" t="s">
        <v>228</v>
      </c>
      <c r="U47" s="64" t="s">
        <v>229</v>
      </c>
      <c r="V47" s="64" t="s">
        <v>230</v>
      </c>
      <c r="W47" s="64" t="s">
        <v>231</v>
      </c>
      <c r="X47" s="64">
        <v>44142</v>
      </c>
    </row>
    <row r="48" spans="1:24" x14ac:dyDescent="0.25">
      <c r="A48" s="12">
        <v>4.3478260869565215</v>
      </c>
      <c r="B48" s="12">
        <v>4.7619047619047619</v>
      </c>
      <c r="C48" s="12">
        <v>4.166666666666667</v>
      </c>
      <c r="D48" s="12">
        <v>4.5454545454545459</v>
      </c>
      <c r="E48" s="12">
        <v>9.4347826086956523</v>
      </c>
      <c r="F48" s="12">
        <v>10.802721088435373</v>
      </c>
      <c r="G48" s="12">
        <v>10.944444444444446</v>
      </c>
      <c r="H48" s="12">
        <v>11.575757575757574</v>
      </c>
      <c r="I48" s="27">
        <v>0.92</v>
      </c>
      <c r="J48" s="27">
        <v>0.97</v>
      </c>
      <c r="K48" s="27">
        <v>0.95085714285714296</v>
      </c>
      <c r="L48" s="27">
        <v>0.95</v>
      </c>
      <c r="M48" s="11">
        <v>442664.75217391289</v>
      </c>
      <c r="N48" s="11">
        <v>555586.6428865979</v>
      </c>
      <c r="O48" s="11">
        <v>661404.67337740364</v>
      </c>
      <c r="P48" s="11">
        <v>615103.36926315771</v>
      </c>
      <c r="Q48" s="4" t="s">
        <v>197</v>
      </c>
      <c r="R48" t="s">
        <v>188</v>
      </c>
      <c r="S48" s="27">
        <v>0.96</v>
      </c>
      <c r="T48" s="27">
        <v>0.97130000000000005</v>
      </c>
      <c r="U48" s="27">
        <v>1</v>
      </c>
      <c r="V48" s="27">
        <v>0.99580000000000002</v>
      </c>
      <c r="W48" s="27">
        <v>0.97199999999999998</v>
      </c>
      <c r="X48" s="27">
        <v>1</v>
      </c>
    </row>
    <row r="49" spans="1:24" x14ac:dyDescent="0.25">
      <c r="A49" s="12">
        <v>5.2631578947368416</v>
      </c>
      <c r="B49" s="12">
        <v>4.9999999999999991</v>
      </c>
      <c r="C49" s="12">
        <v>4.7619047619047619</v>
      </c>
      <c r="D49" s="12">
        <v>5.5555555555555562</v>
      </c>
      <c r="E49" s="12">
        <v>10.578947368421051</v>
      </c>
      <c r="F49" s="12">
        <v>11.142857142857142</v>
      </c>
      <c r="G49" s="12">
        <v>11.936507936507937</v>
      </c>
      <c r="H49" s="12">
        <v>10.17283950617284</v>
      </c>
      <c r="I49" s="27">
        <v>0.91800000000000004</v>
      </c>
      <c r="J49" s="27">
        <v>0.91</v>
      </c>
      <c r="K49" s="27">
        <v>0.95782857142857103</v>
      </c>
      <c r="L49" s="27">
        <v>0.92</v>
      </c>
      <c r="M49" s="11">
        <v>370862.56666666659</v>
      </c>
      <c r="N49" s="11">
        <v>207895.27661538453</v>
      </c>
      <c r="O49" s="11">
        <v>195416.91206896555</v>
      </c>
      <c r="P49" s="11">
        <v>205179.02360869557</v>
      </c>
      <c r="Q49" s="4" t="s">
        <v>197</v>
      </c>
      <c r="R49" t="s">
        <v>189</v>
      </c>
      <c r="S49" s="27">
        <v>0.99770000000000003</v>
      </c>
      <c r="T49" s="27">
        <v>0.99780000000000002</v>
      </c>
      <c r="U49" s="27">
        <v>0.99839999999999995</v>
      </c>
      <c r="V49" s="27">
        <v>0.99919999999999998</v>
      </c>
      <c r="W49" s="27">
        <v>0.998</v>
      </c>
      <c r="X49" s="27">
        <v>1</v>
      </c>
    </row>
    <row r="50" spans="1:24" x14ac:dyDescent="0.25">
      <c r="A50" s="12">
        <v>4.3478260869565215</v>
      </c>
      <c r="B50" s="12">
        <v>4.7619047619047619</v>
      </c>
      <c r="C50" s="12">
        <v>4.1666666666666661</v>
      </c>
      <c r="D50" s="12">
        <v>4.5454545454545459</v>
      </c>
      <c r="E50" s="12">
        <v>9.4347826086956523</v>
      </c>
      <c r="F50" s="12">
        <v>10.802721088435373</v>
      </c>
      <c r="G50" s="12">
        <v>10.944444444444443</v>
      </c>
      <c r="H50" s="12">
        <v>9.0505050505050519</v>
      </c>
      <c r="I50" s="27">
        <v>0.90885714285714303</v>
      </c>
      <c r="J50" s="27">
        <v>0.92</v>
      </c>
      <c r="K50" s="27">
        <v>0.96479999999999999</v>
      </c>
      <c r="L50" s="27">
        <v>0.91600000000000004</v>
      </c>
      <c r="M50" s="11">
        <v>154242.75410248345</v>
      </c>
      <c r="N50" s="11">
        <v>74319.540521739124</v>
      </c>
      <c r="O50" s="11">
        <v>68918.301492537314</v>
      </c>
      <c r="P50" s="11">
        <v>74827.486113537117</v>
      </c>
      <c r="Q50" s="4" t="s">
        <v>197</v>
      </c>
      <c r="R50" t="s">
        <v>190</v>
      </c>
      <c r="S50" s="27">
        <v>0.92500000000000004</v>
      </c>
      <c r="T50" s="27">
        <v>0.98329999999999995</v>
      </c>
      <c r="U50" s="27">
        <v>0.97</v>
      </c>
      <c r="V50" s="27">
        <v>0.92500000000000004</v>
      </c>
      <c r="W50" s="27">
        <v>0.95279999999999998</v>
      </c>
      <c r="X50" s="27">
        <v>1</v>
      </c>
    </row>
    <row r="51" spans="1:24" x14ac:dyDescent="0.25">
      <c r="M51" s="6"/>
      <c r="N51" s="6"/>
      <c r="O51" s="6"/>
      <c r="P51" s="6"/>
      <c r="Q51" s="4" t="s">
        <v>197</v>
      </c>
      <c r="R51" t="s">
        <v>191</v>
      </c>
      <c r="S51" s="27">
        <v>1</v>
      </c>
      <c r="T51" s="27">
        <v>0.97</v>
      </c>
      <c r="U51" s="27">
        <v>1</v>
      </c>
      <c r="V51" s="27">
        <v>1</v>
      </c>
      <c r="W51" s="27">
        <v>0.96599999999999997</v>
      </c>
      <c r="X51" s="27">
        <v>1</v>
      </c>
    </row>
    <row r="52" spans="1:24" x14ac:dyDescent="0.25">
      <c r="A52" s="52" t="s">
        <v>139</v>
      </c>
      <c r="M52" s="8"/>
      <c r="N52" s="8"/>
      <c r="O52" s="8"/>
      <c r="P52" s="8"/>
      <c r="Q52" s="4" t="s">
        <v>197</v>
      </c>
      <c r="R52" t="s">
        <v>199</v>
      </c>
      <c r="S52" s="27">
        <v>0.9163</v>
      </c>
      <c r="T52" s="27">
        <v>0.98750000000000004</v>
      </c>
      <c r="U52" s="27">
        <v>0.98</v>
      </c>
      <c r="V52" s="27">
        <v>0.94379999999999997</v>
      </c>
      <c r="W52" s="27">
        <v>1</v>
      </c>
      <c r="X52" s="27">
        <v>1</v>
      </c>
    </row>
    <row r="53" spans="1:24" x14ac:dyDescent="0.25">
      <c r="A53" s="53" t="s">
        <v>137</v>
      </c>
      <c r="B53" s="53" t="s">
        <v>138</v>
      </c>
      <c r="C53" s="4" t="s">
        <v>140</v>
      </c>
      <c r="D53" s="4" t="s">
        <v>141</v>
      </c>
      <c r="E53" s="4" t="s">
        <v>142</v>
      </c>
      <c r="F53" s="4" t="s">
        <v>143</v>
      </c>
      <c r="G53" t="s">
        <v>146</v>
      </c>
      <c r="H53" s="4" t="s">
        <v>147</v>
      </c>
      <c r="I53" s="4" t="s">
        <v>148</v>
      </c>
      <c r="J53" s="4" t="s">
        <v>149</v>
      </c>
      <c r="M53" s="8"/>
      <c r="N53" s="8"/>
      <c r="O53" s="8"/>
      <c r="P53" s="8"/>
      <c r="Q53" s="4" t="s">
        <v>197</v>
      </c>
      <c r="R53" t="s">
        <v>192</v>
      </c>
      <c r="S53" s="27">
        <v>1</v>
      </c>
      <c r="T53" s="27">
        <v>1</v>
      </c>
      <c r="U53" s="27">
        <v>0.98980000000000001</v>
      </c>
      <c r="V53" s="27">
        <v>0.99490000000000001</v>
      </c>
      <c r="W53" s="27">
        <v>1</v>
      </c>
      <c r="X53" s="27">
        <v>1</v>
      </c>
    </row>
    <row r="54" spans="1:24" x14ac:dyDescent="0.25">
      <c r="A54" s="54">
        <v>48</v>
      </c>
      <c r="B54" s="54">
        <v>156</v>
      </c>
      <c r="C54" s="2">
        <f>F2*1.4</f>
        <v>42038641.123919994</v>
      </c>
      <c r="D54" s="2">
        <f>G2*1.4</f>
        <v>46242505.236312002</v>
      </c>
      <c r="E54" s="2">
        <f>H2*1.4</f>
        <v>60115256.807205603</v>
      </c>
      <c r="F54" s="2">
        <f t="shared" ref="D54:F61" si="10">I2*1.45</f>
        <v>56036007.238145225</v>
      </c>
      <c r="G54">
        <v>190</v>
      </c>
      <c r="H54" s="4">
        <v>190</v>
      </c>
      <c r="I54" s="4">
        <v>190</v>
      </c>
      <c r="J54" s="4">
        <v>190</v>
      </c>
      <c r="M54" s="8"/>
      <c r="N54" s="8"/>
      <c r="O54" s="8"/>
      <c r="P54" s="8"/>
      <c r="Q54" s="4" t="s">
        <v>197</v>
      </c>
      <c r="R54" s="28" t="s">
        <v>193</v>
      </c>
      <c r="S54" s="27">
        <v>0.95289999999999997</v>
      </c>
      <c r="T54" s="27">
        <v>0.92349999999999999</v>
      </c>
      <c r="U54" s="27">
        <v>0.91180000000000005</v>
      </c>
      <c r="V54" s="27">
        <v>0.91759999999999997</v>
      </c>
      <c r="W54" s="27">
        <v>0.9335</v>
      </c>
      <c r="X54" s="27">
        <v>1</v>
      </c>
    </row>
    <row r="55" spans="1:24" x14ac:dyDescent="0.25">
      <c r="A55" s="54">
        <v>23</v>
      </c>
      <c r="B55" s="54">
        <v>176</v>
      </c>
      <c r="C55" s="2">
        <f t="shared" ref="C55:C61" si="11">F3*1.45</f>
        <v>17440160.36406</v>
      </c>
      <c r="D55" s="2">
        <f t="shared" si="10"/>
        <v>36624336.764525995</v>
      </c>
      <c r="E55" s="2">
        <f t="shared" si="10"/>
        <v>32961903.088073403</v>
      </c>
      <c r="F55" s="2">
        <f>I3*1.4</f>
        <v>15912642.8701044</v>
      </c>
      <c r="G55" s="4">
        <v>190</v>
      </c>
      <c r="H55" s="4">
        <v>190</v>
      </c>
      <c r="I55" s="4">
        <v>190</v>
      </c>
      <c r="J55" s="4">
        <v>190</v>
      </c>
      <c r="M55" s="8"/>
      <c r="N55" s="8"/>
      <c r="O55" s="8"/>
      <c r="P55" s="8"/>
      <c r="Q55" s="4" t="s">
        <v>197</v>
      </c>
      <c r="R55" s="28" t="s">
        <v>194</v>
      </c>
      <c r="S55" s="27">
        <v>0.96179999999999999</v>
      </c>
      <c r="T55" s="27">
        <v>0.93630000000000002</v>
      </c>
      <c r="U55" s="27">
        <v>0.97</v>
      </c>
      <c r="V55" s="27">
        <v>0.97019999999999995</v>
      </c>
      <c r="W55" s="27">
        <v>0.95320000000000005</v>
      </c>
      <c r="X55" s="27">
        <v>1</v>
      </c>
    </row>
    <row r="56" spans="1:24" x14ac:dyDescent="0.25">
      <c r="A56" s="54">
        <v>45</v>
      </c>
      <c r="B56" s="54">
        <v>123</v>
      </c>
      <c r="C56" s="2">
        <f>F4*1.4</f>
        <v>1550789.63592</v>
      </c>
      <c r="D56" s="2">
        <f>G4*1.4</f>
        <v>155078.96359199999</v>
      </c>
      <c r="E56" s="2">
        <f>H4*1.4</f>
        <v>170586.85995119999</v>
      </c>
      <c r="F56" s="2">
        <f t="shared" si="10"/>
        <v>1042407.5620589401</v>
      </c>
      <c r="G56" s="4">
        <v>190</v>
      </c>
      <c r="H56" s="4">
        <v>190</v>
      </c>
      <c r="I56" s="4">
        <v>190</v>
      </c>
      <c r="J56" s="4">
        <v>190</v>
      </c>
      <c r="M56" s="8"/>
      <c r="N56" s="8"/>
      <c r="O56" s="8"/>
      <c r="P56" s="8"/>
    </row>
    <row r="57" spans="1:24" x14ac:dyDescent="0.25">
      <c r="A57" s="54">
        <v>35.6666666666667</v>
      </c>
      <c r="B57" s="54">
        <v>118.666666666667</v>
      </c>
      <c r="C57" s="2">
        <f t="shared" si="11"/>
        <v>1432174.86</v>
      </c>
      <c r="D57" s="2">
        <f t="shared" si="10"/>
        <v>4439742.0659999996</v>
      </c>
      <c r="E57" s="2">
        <f t="shared" si="10"/>
        <v>4883716.2726000007</v>
      </c>
      <c r="F57" s="2">
        <f>I5*1.4</f>
        <v>3772249.8105600006</v>
      </c>
      <c r="G57" s="4">
        <v>190</v>
      </c>
      <c r="H57" s="4">
        <v>190</v>
      </c>
      <c r="I57" s="4">
        <v>190</v>
      </c>
      <c r="J57" s="4">
        <v>190</v>
      </c>
      <c r="M57" s="8"/>
      <c r="N57" s="8"/>
      <c r="O57" s="8"/>
      <c r="P57" s="8"/>
    </row>
    <row r="58" spans="1:24" x14ac:dyDescent="0.25">
      <c r="A58" s="54">
        <v>34.1666666666667</v>
      </c>
      <c r="B58" s="54">
        <v>102.166666666667</v>
      </c>
      <c r="C58" s="2">
        <f>F6*1.4</f>
        <v>1214699.92392</v>
      </c>
      <c r="D58" s="2">
        <f>G6*1.45</f>
        <v>2641972.3345260001</v>
      </c>
      <c r="E58" s="2">
        <f>H6*1.4</f>
        <v>2805956.8242552006</v>
      </c>
      <c r="F58" s="2">
        <f t="shared" si="10"/>
        <v>3196786.5247764606</v>
      </c>
      <c r="G58" s="4">
        <v>190</v>
      </c>
      <c r="H58" s="4">
        <v>190</v>
      </c>
      <c r="I58" s="4">
        <v>190</v>
      </c>
      <c r="J58" s="4">
        <v>190</v>
      </c>
      <c r="M58" s="8"/>
      <c r="N58" s="8"/>
      <c r="O58" s="8"/>
      <c r="P58" s="8"/>
      <c r="Q58" s="57" t="s">
        <v>196</v>
      </c>
      <c r="R58" s="57" t="s">
        <v>195</v>
      </c>
      <c r="S58" s="64" t="s">
        <v>228</v>
      </c>
      <c r="T58" s="64" t="s">
        <v>229</v>
      </c>
      <c r="U58" s="64" t="s">
        <v>230</v>
      </c>
      <c r="V58" s="64" t="s">
        <v>231</v>
      </c>
      <c r="W58" s="64">
        <v>44141</v>
      </c>
    </row>
    <row r="59" spans="1:24" x14ac:dyDescent="0.25">
      <c r="A59" s="54">
        <v>46</v>
      </c>
      <c r="B59" s="54">
        <v>145</v>
      </c>
      <c r="C59" s="2">
        <f t="shared" si="11"/>
        <v>3172175.08446</v>
      </c>
      <c r="D59" s="2">
        <f>G7*1.4</f>
        <v>3369068.7103920002</v>
      </c>
      <c r="E59" s="2">
        <f t="shared" si="10"/>
        <v>4187271.1114871996</v>
      </c>
      <c r="F59" s="2">
        <f>I7*1.4</f>
        <v>6872900.16919968</v>
      </c>
      <c r="G59" s="4">
        <v>190</v>
      </c>
      <c r="H59" s="4">
        <v>190</v>
      </c>
      <c r="I59" s="4">
        <v>190</v>
      </c>
      <c r="J59" s="4">
        <v>190</v>
      </c>
      <c r="M59" s="8"/>
      <c r="N59" s="8"/>
      <c r="O59" s="8"/>
      <c r="P59" s="8"/>
      <c r="Q59" s="4" t="s">
        <v>200</v>
      </c>
      <c r="R59" s="4" t="s">
        <v>188</v>
      </c>
      <c r="S59" s="29">
        <v>0.91010000000000002</v>
      </c>
      <c r="T59" s="29">
        <f>'Fuente dinamicas'!E178</f>
        <v>0.97970000000000013</v>
      </c>
      <c r="U59" s="29">
        <v>0.90400000000000003</v>
      </c>
      <c r="V59" s="29">
        <f>'Fuente dinamicas'!G178</f>
        <v>0.98029999999999995</v>
      </c>
      <c r="W59" s="29">
        <f>'Fuente dinamicas'!H178</f>
        <v>0.98053999999999997</v>
      </c>
    </row>
    <row r="60" spans="1:24" x14ac:dyDescent="0.25">
      <c r="A60" s="54">
        <v>31.1666666666667</v>
      </c>
      <c r="B60" s="54">
        <v>69.1666666666667</v>
      </c>
      <c r="C60" s="2">
        <f>F8*1.4</f>
        <v>1382789.63592</v>
      </c>
      <c r="D60" s="2">
        <f t="shared" si="10"/>
        <v>2721132.4621139998</v>
      </c>
      <c r="E60" s="2">
        <f>H8*1.4</f>
        <v>2364570.2774231997</v>
      </c>
      <c r="F60" s="2">
        <f t="shared" si="10"/>
        <v>1959215.3727220802</v>
      </c>
      <c r="G60" s="4">
        <v>190</v>
      </c>
      <c r="H60" s="4">
        <v>190</v>
      </c>
      <c r="I60" s="4">
        <v>190</v>
      </c>
      <c r="J60" s="4">
        <v>190</v>
      </c>
      <c r="M60" s="6"/>
      <c r="N60" s="8"/>
      <c r="O60" s="8"/>
      <c r="P60" s="8"/>
      <c r="Q60" s="4" t="s">
        <v>200</v>
      </c>
      <c r="R60" s="4" t="s">
        <v>189</v>
      </c>
      <c r="S60" s="29">
        <f>'Fuente dinamicas'!D179</f>
        <v>0.97980000000000012</v>
      </c>
      <c r="T60" s="29">
        <v>0.93400000000000005</v>
      </c>
      <c r="U60" s="29">
        <f>'Fuente dinamicas'!F179</f>
        <v>0.97970000000000013</v>
      </c>
      <c r="V60" s="29">
        <f>'Fuente dinamicas'!G179</f>
        <v>0.97903333333333353</v>
      </c>
      <c r="W60" s="29">
        <v>0.94979999999999998</v>
      </c>
    </row>
    <row r="61" spans="1:24" x14ac:dyDescent="0.25">
      <c r="A61" s="54">
        <v>35.380952380952401</v>
      </c>
      <c r="B61" s="54">
        <v>78.095238095238301</v>
      </c>
      <c r="C61" s="2">
        <f t="shared" si="11"/>
        <v>736161.14705999999</v>
      </c>
      <c r="D61" s="2">
        <f>G9*1.4</f>
        <v>1137242.0478719999</v>
      </c>
      <c r="E61" s="2">
        <f t="shared" si="10"/>
        <v>942286.26823680021</v>
      </c>
      <c r="F61" s="2">
        <f>I9*1.4</f>
        <v>363917.45531904005</v>
      </c>
      <c r="G61" s="4">
        <v>190</v>
      </c>
      <c r="H61" s="4">
        <v>190</v>
      </c>
      <c r="I61" s="4">
        <v>190</v>
      </c>
      <c r="J61" s="4">
        <v>190</v>
      </c>
      <c r="Q61" s="4" t="s">
        <v>200</v>
      </c>
      <c r="R61" s="4" t="s">
        <v>190</v>
      </c>
      <c r="S61" s="29">
        <f>'Fuente dinamicas'!D180</f>
        <v>0.98019999999999996</v>
      </c>
      <c r="T61" s="29">
        <v>0.96140000000000003</v>
      </c>
      <c r="U61" s="29">
        <f>'Fuente dinamicas'!F180</f>
        <v>0.97830000000000017</v>
      </c>
      <c r="V61" s="29">
        <v>0.90859999999999996</v>
      </c>
      <c r="W61" s="29">
        <f>'Fuente dinamicas'!H180</f>
        <v>0.98003000000000018</v>
      </c>
    </row>
    <row r="62" spans="1:24" x14ac:dyDescent="0.25">
      <c r="Q62" s="4" t="s">
        <v>200</v>
      </c>
      <c r="R62" s="4" t="s">
        <v>191</v>
      </c>
      <c r="S62" s="29">
        <f>'Fuente dinamicas'!D181</f>
        <v>0.97933333333333339</v>
      </c>
      <c r="T62" s="29">
        <v>0.874</v>
      </c>
      <c r="U62" s="29">
        <f>'Fuente dinamicas'!F181</f>
        <v>0.97950000000000015</v>
      </c>
      <c r="V62" s="29">
        <v>0.96860000000000002</v>
      </c>
      <c r="W62" s="29">
        <f>'Fuente dinamicas'!H181</f>
        <v>0.98003666666666678</v>
      </c>
    </row>
    <row r="63" spans="1:24" x14ac:dyDescent="0.25">
      <c r="Q63" s="4" t="s">
        <v>200</v>
      </c>
      <c r="R63" s="4" t="s">
        <v>199</v>
      </c>
      <c r="S63" s="29">
        <v>0.95960000000000001</v>
      </c>
      <c r="T63" s="29">
        <f>'Fuente dinamicas'!E182</f>
        <v>0.98099999999999998</v>
      </c>
      <c r="U63" s="29">
        <f>'Fuente dinamicas'!F182</f>
        <v>0.98019999999999996</v>
      </c>
      <c r="V63" s="29">
        <f>'Fuente dinamicas'!G182</f>
        <v>0.97930000000000006</v>
      </c>
      <c r="W63" s="29">
        <f>'Fuente dinamicas'!H182</f>
        <v>0.97986333333333353</v>
      </c>
    </row>
    <row r="64" spans="1:24" x14ac:dyDescent="0.25">
      <c r="Q64" s="4" t="s">
        <v>200</v>
      </c>
      <c r="R64" s="4" t="s">
        <v>192</v>
      </c>
      <c r="S64" s="29">
        <v>0.9204</v>
      </c>
      <c r="T64" s="29">
        <v>0.95089999999999997</v>
      </c>
      <c r="U64" s="29">
        <v>0.89700000000000002</v>
      </c>
      <c r="V64" s="29">
        <f>'Fuente dinamicas'!G183</f>
        <v>0.98080000000000001</v>
      </c>
      <c r="W64" s="29">
        <v>0.95089999999999997</v>
      </c>
    </row>
    <row r="65" spans="17:25" x14ac:dyDescent="0.25">
      <c r="Q65" s="4" t="s">
        <v>200</v>
      </c>
      <c r="R65" s="28" t="s">
        <v>193</v>
      </c>
      <c r="S65" s="29">
        <v>0.96</v>
      </c>
      <c r="T65" s="29">
        <f>'Fuente dinamicas'!E184</f>
        <v>0.98070000000000002</v>
      </c>
      <c r="U65" s="29">
        <f>'Fuente dinamicas'!F184</f>
        <v>0.98119999999999996</v>
      </c>
      <c r="V65" s="29">
        <f>'Fuente dinamicas'!G184</f>
        <v>0.98065000000000002</v>
      </c>
      <c r="W65" s="29">
        <f>'Fuente dinamicas'!H184</f>
        <v>0.98014500000000004</v>
      </c>
    </row>
    <row r="66" spans="17:25" x14ac:dyDescent="0.25">
      <c r="Q66" s="4" t="s">
        <v>200</v>
      </c>
      <c r="R66" s="28" t="s">
        <v>194</v>
      </c>
      <c r="S66" s="29">
        <f>'Fuente dinamicas'!D185</f>
        <v>0.98019999999999996</v>
      </c>
      <c r="T66" s="29">
        <v>0.9234</v>
      </c>
      <c r="U66" s="29">
        <v>0.92969999999999997</v>
      </c>
      <c r="V66" s="29">
        <v>0.91979999999999995</v>
      </c>
      <c r="W66" s="29">
        <f>'Fuente dinamicas'!H185</f>
        <v>0.98021999999999998</v>
      </c>
    </row>
    <row r="67" spans="17:25" x14ac:dyDescent="0.25">
      <c r="S67" s="29"/>
    </row>
    <row r="69" spans="17:25" x14ac:dyDescent="0.25">
      <c r="Q69" s="57" t="s">
        <v>202</v>
      </c>
      <c r="R69" s="57" t="s">
        <v>207</v>
      </c>
      <c r="S69" s="57" t="s">
        <v>203</v>
      </c>
      <c r="T69" s="57" t="s">
        <v>206</v>
      </c>
      <c r="U69" s="57" t="s">
        <v>205</v>
      </c>
      <c r="V69" s="57" t="s">
        <v>215</v>
      </c>
      <c r="W69" s="57" t="s">
        <v>216</v>
      </c>
      <c r="X69" s="57" t="s">
        <v>218</v>
      </c>
      <c r="Y69" s="57" t="s">
        <v>219</v>
      </c>
    </row>
    <row r="70" spans="17:25" x14ac:dyDescent="0.25">
      <c r="Q70" s="4" t="s">
        <v>204</v>
      </c>
      <c r="R70" t="s">
        <v>208</v>
      </c>
      <c r="S70" s="4" t="s">
        <v>209</v>
      </c>
      <c r="T70" s="65">
        <v>5240</v>
      </c>
      <c r="U70" s="65">
        <v>3144</v>
      </c>
      <c r="V70">
        <v>0</v>
      </c>
      <c r="W70" t="s">
        <v>217</v>
      </c>
      <c r="X70" s="4">
        <f>(U70*200)+(U70*500)</f>
        <v>2200800</v>
      </c>
      <c r="Y70" t="str">
        <f>W70</f>
        <v>N/A</v>
      </c>
    </row>
    <row r="71" spans="17:25" x14ac:dyDescent="0.25">
      <c r="Q71" s="4" t="s">
        <v>204</v>
      </c>
      <c r="R71" s="4" t="s">
        <v>208</v>
      </c>
      <c r="S71" s="4" t="s">
        <v>210</v>
      </c>
      <c r="T71" s="65">
        <v>629128</v>
      </c>
      <c r="U71" s="65">
        <v>377476</v>
      </c>
      <c r="V71">
        <v>0</v>
      </c>
      <c r="W71" s="47">
        <v>1</v>
      </c>
      <c r="X71" s="4">
        <f>(T71*200)+(U71*500)</f>
        <v>314563600</v>
      </c>
      <c r="Y71">
        <f>(T71*200)+(U71*500)</f>
        <v>314563600</v>
      </c>
    </row>
    <row r="72" spans="17:25" x14ac:dyDescent="0.25">
      <c r="Q72" s="4" t="s">
        <v>204</v>
      </c>
      <c r="R72" s="4" t="s">
        <v>208</v>
      </c>
      <c r="S72" s="4" t="s">
        <v>211</v>
      </c>
      <c r="T72" s="65">
        <v>8230</v>
      </c>
      <c r="U72" s="65">
        <v>4938</v>
      </c>
      <c r="V72">
        <v>0</v>
      </c>
      <c r="W72" s="4" t="s">
        <v>217</v>
      </c>
      <c r="X72" s="4">
        <f t="shared" ref="X72:X74" si="12">(T72*200)+(U72*500)+10024550</f>
        <v>14139550</v>
      </c>
      <c r="Y72" t="str">
        <f>W72</f>
        <v>N/A</v>
      </c>
    </row>
    <row r="73" spans="17:25" x14ac:dyDescent="0.25">
      <c r="Q73" s="4" t="s">
        <v>204</v>
      </c>
      <c r="R73" s="4" t="s">
        <v>208</v>
      </c>
      <c r="S73" s="4" t="s">
        <v>212</v>
      </c>
      <c r="T73" s="65">
        <v>124208</v>
      </c>
      <c r="U73" s="65">
        <v>74524</v>
      </c>
      <c r="V73">
        <v>0</v>
      </c>
      <c r="W73" s="4" t="s">
        <v>217</v>
      </c>
      <c r="X73" s="4">
        <f t="shared" si="12"/>
        <v>72128150</v>
      </c>
      <c r="Y73" s="4" t="str">
        <f>W73</f>
        <v>N/A</v>
      </c>
    </row>
    <row r="74" spans="17:25" x14ac:dyDescent="0.25">
      <c r="Q74" s="4" t="s">
        <v>204</v>
      </c>
      <c r="R74" s="4" t="s">
        <v>208</v>
      </c>
      <c r="S74" s="4" t="s">
        <v>213</v>
      </c>
      <c r="T74" s="65">
        <v>35200</v>
      </c>
      <c r="U74" s="65">
        <v>21120</v>
      </c>
      <c r="V74">
        <v>0</v>
      </c>
      <c r="W74" s="4" t="s">
        <v>217</v>
      </c>
      <c r="X74" s="4">
        <f t="shared" si="12"/>
        <v>27624550</v>
      </c>
      <c r="Y74" s="4" t="str">
        <f>W74</f>
        <v>N/A</v>
      </c>
    </row>
    <row r="75" spans="17:25" x14ac:dyDescent="0.25">
      <c r="Q75" s="4" t="s">
        <v>204</v>
      </c>
      <c r="R75" s="4" t="s">
        <v>208</v>
      </c>
      <c r="S75" s="4" t="s">
        <v>214</v>
      </c>
      <c r="T75" s="65">
        <v>4630</v>
      </c>
      <c r="U75" s="65">
        <v>2778</v>
      </c>
      <c r="V75">
        <v>0</v>
      </c>
      <c r="W75" s="4" t="s">
        <v>217</v>
      </c>
      <c r="X75" s="4">
        <f>(T75*200)+(U75*500)+14024550</f>
        <v>16339550</v>
      </c>
      <c r="Y75" s="4" t="str">
        <f>W75</f>
        <v>N/A</v>
      </c>
    </row>
    <row r="76" spans="17:25" x14ac:dyDescent="0.25">
      <c r="Q76" s="4" t="s">
        <v>204</v>
      </c>
      <c r="R76" s="4" t="s">
        <v>208</v>
      </c>
      <c r="S76" s="28" t="s">
        <v>193</v>
      </c>
      <c r="T76">
        <v>0</v>
      </c>
      <c r="U76">
        <v>0</v>
      </c>
      <c r="V76">
        <v>53500</v>
      </c>
      <c r="W76" s="47">
        <v>1</v>
      </c>
      <c r="X76" s="4">
        <v>235000</v>
      </c>
      <c r="Y76">
        <f>V76</f>
        <v>53500</v>
      </c>
    </row>
    <row r="77" spans="17:25" x14ac:dyDescent="0.25">
      <c r="Q77" s="4" t="s">
        <v>204</v>
      </c>
      <c r="R77" s="4" t="s">
        <v>208</v>
      </c>
      <c r="S77" s="28" t="s">
        <v>194</v>
      </c>
      <c r="T77">
        <v>0</v>
      </c>
      <c r="U77">
        <v>0</v>
      </c>
      <c r="V77">
        <v>9500</v>
      </c>
      <c r="W77" s="47">
        <v>1</v>
      </c>
      <c r="X77" s="4">
        <v>35000</v>
      </c>
      <c r="Y77" s="4">
        <f>V77</f>
        <v>9500</v>
      </c>
    </row>
    <row r="78" spans="17:25" x14ac:dyDescent="0.25">
      <c r="X78">
        <f>SUM(X70:X77)</f>
        <v>447266200</v>
      </c>
    </row>
    <row r="81" spans="19:24" x14ac:dyDescent="0.25">
      <c r="S81" s="57" t="s">
        <v>203</v>
      </c>
      <c r="T81" t="s">
        <v>238</v>
      </c>
      <c r="U81" s="79">
        <v>44927</v>
      </c>
      <c r="V81" s="79">
        <v>44958</v>
      </c>
      <c r="W81" s="79">
        <v>44986</v>
      </c>
      <c r="X81" s="79">
        <v>45017</v>
      </c>
    </row>
    <row r="82" spans="19:24" x14ac:dyDescent="0.25">
      <c r="S82" s="28" t="s">
        <v>193</v>
      </c>
      <c r="T82" s="4">
        <v>5507</v>
      </c>
      <c r="U82" s="4">
        <f>T82</f>
        <v>5507</v>
      </c>
      <c r="V82" s="4">
        <f>U82</f>
        <v>5507</v>
      </c>
      <c r="W82" s="4">
        <f>V82</f>
        <v>5507</v>
      </c>
      <c r="X82" s="4">
        <f>W82</f>
        <v>5507</v>
      </c>
    </row>
    <row r="83" spans="19:24" x14ac:dyDescent="0.25">
      <c r="S83" s="28" t="s">
        <v>194</v>
      </c>
      <c r="T83" s="4">
        <v>1045</v>
      </c>
      <c r="U83" s="4">
        <f>T83</f>
        <v>1045</v>
      </c>
      <c r="V83" s="4">
        <f>U83</f>
        <v>1045</v>
      </c>
      <c r="W83" s="4">
        <f>V83</f>
        <v>1045</v>
      </c>
      <c r="X83" s="4">
        <f>W83</f>
        <v>1045</v>
      </c>
    </row>
    <row r="84" spans="19:24" x14ac:dyDescent="0.25">
      <c r="S84" s="4"/>
      <c r="T84" s="65"/>
      <c r="V84" s="65"/>
      <c r="W84" s="65"/>
      <c r="X84" s="65"/>
    </row>
    <row r="85" spans="19:24" x14ac:dyDescent="0.25">
      <c r="S85" s="4"/>
      <c r="T85" s="65"/>
      <c r="V85" s="65"/>
      <c r="W85" s="65"/>
      <c r="X85" s="65"/>
    </row>
    <row r="86" spans="19:24" x14ac:dyDescent="0.25">
      <c r="S86" s="4"/>
      <c r="T86" s="65"/>
      <c r="V86" s="65"/>
      <c r="W86" s="65"/>
      <c r="X86" s="65"/>
    </row>
    <row r="87" spans="19:24" x14ac:dyDescent="0.25">
      <c r="S87" s="4"/>
      <c r="T87" s="65"/>
      <c r="V87" s="65"/>
      <c r="W87" s="65"/>
      <c r="X87" s="65"/>
    </row>
    <row r="88" spans="19:24" x14ac:dyDescent="0.25">
      <c r="S88" s="28"/>
      <c r="U88" s="4"/>
    </row>
    <row r="89" spans="19:24" x14ac:dyDescent="0.25">
      <c r="S89" s="28"/>
      <c r="U89" s="4"/>
    </row>
    <row r="91" spans="19:24" x14ac:dyDescent="0.25">
      <c r="T91" s="5"/>
      <c r="U91" s="5"/>
    </row>
    <row r="92" spans="19:24" x14ac:dyDescent="0.25">
      <c r="T92" s="5"/>
      <c r="U92" s="5"/>
    </row>
    <row r="106" spans="20:22" x14ac:dyDescent="0.25">
      <c r="T106" s="57" t="s">
        <v>239</v>
      </c>
    </row>
    <row r="112" spans="20:22" x14ac:dyDescent="0.25">
      <c r="T112" s="57" t="s">
        <v>203</v>
      </c>
      <c r="U112" s="57" t="s">
        <v>206</v>
      </c>
      <c r="V112" s="57" t="s">
        <v>205</v>
      </c>
    </row>
    <row r="113" spans="19:25" x14ac:dyDescent="0.25">
      <c r="T113" s="4" t="s">
        <v>209</v>
      </c>
      <c r="U113" s="65">
        <v>5240</v>
      </c>
      <c r="V113" s="65">
        <v>3144</v>
      </c>
    </row>
    <row r="114" spans="19:25" x14ac:dyDescent="0.25">
      <c r="T114" s="4" t="s">
        <v>248</v>
      </c>
      <c r="U114" s="65">
        <v>629128</v>
      </c>
      <c r="V114" s="65">
        <v>377476</v>
      </c>
    </row>
    <row r="115" spans="19:25" x14ac:dyDescent="0.25">
      <c r="S115" s="57" t="s">
        <v>206</v>
      </c>
      <c r="T115" s="4" t="s">
        <v>249</v>
      </c>
      <c r="U115" s="65">
        <v>8230</v>
      </c>
      <c r="V115" s="65">
        <v>4938</v>
      </c>
    </row>
    <row r="116" spans="19:25" x14ac:dyDescent="0.25">
      <c r="T116" s="4" t="s">
        <v>250</v>
      </c>
      <c r="U116" s="65">
        <v>124208</v>
      </c>
      <c r="V116" s="65">
        <v>74524</v>
      </c>
    </row>
    <row r="117" spans="19:25" x14ac:dyDescent="0.25">
      <c r="T117" s="4"/>
      <c r="U117" s="65"/>
      <c r="V117" s="65"/>
    </row>
    <row r="118" spans="19:25" x14ac:dyDescent="0.25">
      <c r="S118" s="57" t="s">
        <v>203</v>
      </c>
      <c r="T118" t="s">
        <v>238</v>
      </c>
      <c r="U118" s="79">
        <v>44927</v>
      </c>
      <c r="V118" s="79">
        <v>44958</v>
      </c>
      <c r="W118" s="79">
        <v>44986</v>
      </c>
      <c r="X118" s="79">
        <v>45017</v>
      </c>
      <c r="Y118" s="79"/>
    </row>
    <row r="119" spans="19:25" x14ac:dyDescent="0.25">
      <c r="S119" s="4" t="s">
        <v>209</v>
      </c>
      <c r="T119" s="65">
        <v>654</v>
      </c>
      <c r="U119" s="65">
        <f>T119*1.132</f>
        <v>740.32799999999997</v>
      </c>
      <c r="V119" s="65">
        <f>U119*1.112</f>
        <v>823.24473599999999</v>
      </c>
      <c r="W119" s="65">
        <f>V119*1.165</f>
        <v>959.08011743999998</v>
      </c>
      <c r="X119" s="65">
        <f>W119*1.032</f>
        <v>989.77068119807996</v>
      </c>
      <c r="Y119" s="65"/>
    </row>
    <row r="120" spans="19:25" x14ac:dyDescent="0.25">
      <c r="S120" s="4" t="s">
        <v>251</v>
      </c>
      <c r="T120" s="65">
        <v>5291</v>
      </c>
      <c r="U120" s="65">
        <f t="shared" ref="U120:U122" si="13">T120*1.132</f>
        <v>5989.4119999999994</v>
      </c>
      <c r="V120" s="65">
        <f t="shared" ref="V120:V122" si="14">U120*1.112</f>
        <v>6660.2261440000002</v>
      </c>
      <c r="W120" s="65">
        <f t="shared" ref="W120:W122" si="15">V120*1.165</f>
        <v>7759.1634577600007</v>
      </c>
      <c r="X120" s="65">
        <f t="shared" ref="X120:X122" si="16">W120*1.032</f>
        <v>8007.4566884083206</v>
      </c>
      <c r="Y120" s="65"/>
    </row>
    <row r="121" spans="19:25" x14ac:dyDescent="0.25">
      <c r="S121" s="4" t="s">
        <v>252</v>
      </c>
      <c r="T121" s="65">
        <v>923</v>
      </c>
      <c r="U121" s="65">
        <f t="shared" si="13"/>
        <v>1044.836</v>
      </c>
      <c r="V121" s="65">
        <f t="shared" si="14"/>
        <v>1161.8576320000002</v>
      </c>
      <c r="W121" s="65">
        <f t="shared" si="15"/>
        <v>1353.5641412800003</v>
      </c>
      <c r="X121" s="65">
        <f t="shared" si="16"/>
        <v>1396.8781938009604</v>
      </c>
      <c r="Y121" s="65"/>
    </row>
    <row r="122" spans="19:25" x14ac:dyDescent="0.25">
      <c r="S122" s="4" t="s">
        <v>253</v>
      </c>
      <c r="T122" s="65">
        <v>1042</v>
      </c>
      <c r="U122" s="65">
        <f t="shared" si="13"/>
        <v>1179.5439999999999</v>
      </c>
      <c r="V122" s="65">
        <f t="shared" si="14"/>
        <v>1311.652928</v>
      </c>
      <c r="W122" s="65">
        <f t="shared" si="15"/>
        <v>1528.0756611199999</v>
      </c>
      <c r="X122" s="65">
        <f t="shared" si="16"/>
        <v>1576.9740822758399</v>
      </c>
      <c r="Y122" s="65"/>
    </row>
    <row r="141" spans="19:24" x14ac:dyDescent="0.25">
      <c r="S141" s="57" t="s">
        <v>203</v>
      </c>
      <c r="T141" s="4" t="s">
        <v>238</v>
      </c>
      <c r="U141" s="79">
        <v>44927</v>
      </c>
      <c r="V141" s="79">
        <v>44958</v>
      </c>
      <c r="W141" s="79">
        <v>44986</v>
      </c>
      <c r="X141" s="79">
        <v>45017</v>
      </c>
    </row>
    <row r="142" spans="19:24" x14ac:dyDescent="0.25">
      <c r="S142" s="4" t="s">
        <v>209</v>
      </c>
      <c r="T142" s="65">
        <v>245</v>
      </c>
      <c r="U142" s="65">
        <f>T142*1.098</f>
        <v>269.01000000000005</v>
      </c>
      <c r="V142" s="65">
        <f>U142*0.98</f>
        <v>263.62980000000005</v>
      </c>
      <c r="W142" s="65">
        <f>V142*1.134</f>
        <v>298.95619320000003</v>
      </c>
      <c r="X142" s="65">
        <f>W142*1.132</f>
        <v>338.41841070240002</v>
      </c>
    </row>
    <row r="143" spans="19:24" x14ac:dyDescent="0.25">
      <c r="S143" s="4" t="s">
        <v>251</v>
      </c>
      <c r="T143" s="65">
        <v>874</v>
      </c>
      <c r="U143" s="65">
        <f t="shared" ref="U143:U145" si="17">T143*1.098</f>
        <v>959.65200000000004</v>
      </c>
      <c r="V143" s="65">
        <f t="shared" ref="V143:V145" si="18">U143*0.98</f>
        <v>940.45896000000005</v>
      </c>
      <c r="W143" s="65">
        <f t="shared" ref="W143:W145" si="19">V143*1.134</f>
        <v>1066.48046064</v>
      </c>
      <c r="X143" s="65">
        <f t="shared" ref="X143:X145" si="20">W143*1.132</f>
        <v>1207.2558814444799</v>
      </c>
    </row>
    <row r="144" spans="19:24" x14ac:dyDescent="0.25">
      <c r="S144" s="4" t="s">
        <v>252</v>
      </c>
      <c r="T144" s="65">
        <v>304</v>
      </c>
      <c r="U144" s="65">
        <f t="shared" si="17"/>
        <v>333.79200000000003</v>
      </c>
      <c r="V144" s="65">
        <f t="shared" si="18"/>
        <v>327.11616000000004</v>
      </c>
      <c r="W144" s="65">
        <f t="shared" si="19"/>
        <v>370.94972544000001</v>
      </c>
      <c r="X144" s="65">
        <f t="shared" si="20"/>
        <v>419.91508919807995</v>
      </c>
    </row>
    <row r="145" spans="19:24" x14ac:dyDescent="0.25">
      <c r="S145" s="4" t="s">
        <v>253</v>
      </c>
      <c r="T145" s="65">
        <v>69</v>
      </c>
      <c r="U145" s="65">
        <f t="shared" si="17"/>
        <v>75.762</v>
      </c>
      <c r="V145" s="65">
        <f t="shared" si="18"/>
        <v>74.246759999999995</v>
      </c>
      <c r="W145" s="65">
        <f t="shared" si="19"/>
        <v>84.195825839999983</v>
      </c>
      <c r="X145" s="65">
        <f t="shared" si="20"/>
        <v>95.309674850879972</v>
      </c>
    </row>
  </sheetData>
  <phoneticPr fontId="5" type="noConversion"/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Presentacion Dashboard</vt:lpstr>
      <vt:lpstr>Hoja3</vt:lpstr>
      <vt:lpstr>Dinamicas 2</vt:lpstr>
      <vt:lpstr>Hoja4</vt:lpstr>
      <vt:lpstr>Dinamicas</vt:lpstr>
      <vt:lpstr>Fuente dinamicas</vt:lpstr>
      <vt:lpstr>Fuente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dmi271</dc:creator>
  <cp:lastModifiedBy>Sebastian Bonillas    Giraldo</cp:lastModifiedBy>
  <dcterms:created xsi:type="dcterms:W3CDTF">2018-10-24T22:26:11Z</dcterms:created>
  <dcterms:modified xsi:type="dcterms:W3CDTF">2022-05-29T21:16:51Z</dcterms:modified>
</cp:coreProperties>
</file>