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57322\Documents\UNIVERSIDAD\10 SEMESTRE\PROYECTO DE GRADO\TESIS LPC SAS\ANEXOS PROPUESTA DE MEJORA DE LOS PROCESOS EN COSNTRUCTORA LPC SAS A PARTIR DE LA FILOSOFIA LEAN CONSTRUCTION\"/>
    </mc:Choice>
  </mc:AlternateContent>
  <xr:revisionPtr revIDLastSave="0" documentId="13_ncr:1_{0190A1B8-1383-4E84-A978-61C17F57A03F}" xr6:coauthVersionLast="47" xr6:coauthVersionMax="47" xr10:uidLastSave="{00000000-0000-0000-0000-000000000000}"/>
  <bookViews>
    <workbookView xWindow="-120" yWindow="-120" windowWidth="20730" windowHeight="11160" tabRatio="910" activeTab="2" xr2:uid="{00000000-000D-0000-FFFF-FFFF00000000}"/>
  </bookViews>
  <sheets>
    <sheet name="PARETO" sheetId="10" r:id="rId1"/>
    <sheet name="Hoja1" sheetId="12" r:id="rId2"/>
    <sheet name="CARACTERIZACIÓN DE MUDAS" sheetId="11" r:id="rId3"/>
    <sheet name="Hoja2" sheetId="13" r:id="rId4"/>
    <sheet name="MOVIMIENTOS INNECESARIOS" sheetId="2" state="hidden" r:id="rId5"/>
    <sheet name="ESPERAS" sheetId="3" state="hidden" r:id="rId6"/>
    <sheet name="INVENTARIOS" sheetId="4" state="hidden" r:id="rId7"/>
    <sheet name="REPROCESAMIENTO" sheetId="5" state="hidden" r:id="rId8"/>
    <sheet name="TALENTO HUMANO" sheetId="6" state="hidden" r:id="rId9"/>
    <sheet name="MAQUINAS" sheetId="7" state="hidden" r:id="rId10"/>
    <sheet name="MATERIALES" sheetId="8" state="hidden" r:id="rId11"/>
    <sheet name="AMBIENTE DE TRABAJO" sheetId="9"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0" l="1"/>
  <c r="E6" i="10" l="1"/>
  <c r="E41" i="11"/>
  <c r="E7" i="10" l="1"/>
  <c r="K41" i="11"/>
  <c r="L42" i="11"/>
  <c r="K42" i="11"/>
  <c r="J42" i="11"/>
  <c r="I42" i="11"/>
  <c r="H42" i="11"/>
  <c r="G42" i="11"/>
  <c r="F42" i="11"/>
  <c r="E42" i="11"/>
  <c r="L41" i="11"/>
  <c r="J41" i="11"/>
  <c r="I41" i="11"/>
  <c r="H41" i="11"/>
  <c r="G41" i="11"/>
  <c r="F41" i="11"/>
  <c r="N40" i="11"/>
  <c r="L40" i="11"/>
  <c r="K40" i="11"/>
  <c r="J40" i="11"/>
  <c r="I40" i="11"/>
  <c r="H40" i="11"/>
  <c r="G40" i="11"/>
  <c r="F40" i="11"/>
  <c r="E40" i="11"/>
  <c r="M39" i="11"/>
  <c r="M38" i="11"/>
  <c r="O37" i="11"/>
  <c r="M37" i="11"/>
  <c r="M36" i="11"/>
  <c r="M35" i="11"/>
  <c r="O34" i="11"/>
  <c r="M34" i="11"/>
  <c r="M33" i="11"/>
  <c r="M32" i="11"/>
  <c r="M31" i="11"/>
  <c r="O30" i="11"/>
  <c r="M30" i="11"/>
  <c r="M29" i="11"/>
  <c r="M28" i="11"/>
  <c r="M27" i="11"/>
  <c r="O26" i="11"/>
  <c r="M26" i="11"/>
  <c r="M25" i="11"/>
  <c r="M24" i="11"/>
  <c r="M23" i="11"/>
  <c r="M22" i="11"/>
  <c r="O21" i="11"/>
  <c r="M21" i="11"/>
  <c r="M20" i="11"/>
  <c r="M19" i="11"/>
  <c r="O18" i="11"/>
  <c r="M18" i="11"/>
  <c r="M17" i="11"/>
  <c r="M16" i="11"/>
  <c r="M15" i="11"/>
  <c r="M14" i="11"/>
  <c r="M13" i="11"/>
  <c r="M12" i="11"/>
  <c r="O11" i="11"/>
  <c r="M11" i="11"/>
  <c r="M10" i="11"/>
  <c r="M9" i="11"/>
  <c r="M8" i="11"/>
  <c r="O7" i="11"/>
  <c r="M7" i="11"/>
  <c r="E8" i="10" l="1"/>
  <c r="O40" i="11"/>
  <c r="C13" i="10"/>
  <c r="D4" i="2"/>
  <c r="D5" i="10" l="1"/>
  <c r="D6" i="10"/>
  <c r="D7" i="10"/>
  <c r="E9" i="10"/>
  <c r="D8" i="10"/>
  <c r="D6" i="6"/>
  <c r="D7" i="6"/>
  <c r="D5" i="6"/>
  <c r="D4" i="6"/>
  <c r="D5" i="9"/>
  <c r="D6" i="9"/>
  <c r="E6" i="9" s="1"/>
  <c r="F6" i="9" s="1"/>
  <c r="D4" i="9"/>
  <c r="E4" i="9" s="1"/>
  <c r="D5" i="8"/>
  <c r="E5" i="8" s="1"/>
  <c r="F5" i="8" s="1"/>
  <c r="D4" i="8"/>
  <c r="D6" i="8"/>
  <c r="I5" i="7"/>
  <c r="D7" i="7"/>
  <c r="E7" i="7" s="1"/>
  <c r="F7" i="7" s="1"/>
  <c r="D5" i="7"/>
  <c r="E5" i="7" s="1"/>
  <c r="F5" i="7" s="1"/>
  <c r="D6" i="7"/>
  <c r="D4" i="7"/>
  <c r="D8" i="5"/>
  <c r="D5" i="5"/>
  <c r="D7" i="5"/>
  <c r="D6" i="5"/>
  <c r="D4" i="5"/>
  <c r="E4" i="5" s="1"/>
  <c r="D4" i="4"/>
  <c r="D6" i="4"/>
  <c r="D5" i="4"/>
  <c r="D7" i="2"/>
  <c r="D5" i="2"/>
  <c r="D6" i="2"/>
  <c r="F6" i="3"/>
  <c r="F10" i="3"/>
  <c r="E6" i="3"/>
  <c r="E7" i="3"/>
  <c r="F7" i="3" s="1"/>
  <c r="E8" i="3"/>
  <c r="F8" i="3" s="1"/>
  <c r="E10" i="3"/>
  <c r="D11" i="3"/>
  <c r="G8" i="2"/>
  <c r="C4" i="3"/>
  <c r="E5" i="3" s="1"/>
  <c r="F5" i="3" s="1"/>
  <c r="G7" i="9"/>
  <c r="H6" i="9" s="1"/>
  <c r="I6" i="9" s="1"/>
  <c r="E5" i="9"/>
  <c r="F5" i="9" s="1"/>
  <c r="E6" i="8"/>
  <c r="F6" i="8" s="1"/>
  <c r="G7" i="8"/>
  <c r="H6" i="8" s="1"/>
  <c r="I6" i="8" s="1"/>
  <c r="E6" i="7"/>
  <c r="F6" i="7" s="1"/>
  <c r="G8" i="7"/>
  <c r="H5" i="7" s="1"/>
  <c r="E4" i="7"/>
  <c r="E10" i="10" l="1"/>
  <c r="D9" i="10"/>
  <c r="D8" i="7"/>
  <c r="E9" i="3"/>
  <c r="F9" i="3" s="1"/>
  <c r="D8" i="6"/>
  <c r="D7" i="9"/>
  <c r="D7" i="8"/>
  <c r="E4" i="8"/>
  <c r="F4" i="8" s="1"/>
  <c r="F7" i="8" s="1"/>
  <c r="D9" i="5"/>
  <c r="D7" i="4"/>
  <c r="D8" i="2"/>
  <c r="H5" i="8"/>
  <c r="I5" i="8" s="1"/>
  <c r="H4" i="8"/>
  <c r="I4" i="8" s="1"/>
  <c r="I7" i="8" s="1"/>
  <c r="H5" i="9"/>
  <c r="I5" i="9" s="1"/>
  <c r="H4" i="9"/>
  <c r="H7" i="9" s="1"/>
  <c r="E7" i="9"/>
  <c r="F4" i="9"/>
  <c r="F7" i="9" s="1"/>
  <c r="H4" i="7"/>
  <c r="I4" i="7" s="1"/>
  <c r="H6" i="7"/>
  <c r="I6" i="7" s="1"/>
  <c r="H7" i="7"/>
  <c r="I7" i="7" s="1"/>
  <c r="E8" i="7"/>
  <c r="F4" i="7"/>
  <c r="F8" i="7" s="1"/>
  <c r="E11" i="10" l="1"/>
  <c r="D10" i="10"/>
  <c r="E7" i="8"/>
  <c r="H7" i="8"/>
  <c r="H8" i="7"/>
  <c r="I8" i="7"/>
  <c r="I4" i="9"/>
  <c r="I7" i="9" s="1"/>
  <c r="E12" i="10" l="1"/>
  <c r="D12" i="10" s="1"/>
  <c r="D11" i="10"/>
  <c r="G8" i="6"/>
  <c r="E7" i="6"/>
  <c r="F7" i="6" s="1"/>
  <c r="E6" i="6"/>
  <c r="F6" i="6" s="1"/>
  <c r="E5" i="6"/>
  <c r="F5" i="6" s="1"/>
  <c r="E4" i="6"/>
  <c r="F4" i="6" s="1"/>
  <c r="G9" i="5"/>
  <c r="H5" i="5" s="1"/>
  <c r="I5" i="5" s="1"/>
  <c r="E5" i="5"/>
  <c r="F5" i="5" s="1"/>
  <c r="E6" i="5"/>
  <c r="F6" i="5" s="1"/>
  <c r="E7" i="5"/>
  <c r="F7" i="5" s="1"/>
  <c r="E8" i="5"/>
  <c r="F8" i="5" s="1"/>
  <c r="F4" i="5"/>
  <c r="G11" i="3"/>
  <c r="H5" i="3" s="1"/>
  <c r="I5" i="3" s="1"/>
  <c r="E4" i="3"/>
  <c r="G7" i="4"/>
  <c r="H4" i="4" s="1"/>
  <c r="E6" i="4"/>
  <c r="F6" i="4" s="1"/>
  <c r="E5" i="4"/>
  <c r="F5" i="4" s="1"/>
  <c r="E4" i="4"/>
  <c r="H6" i="2"/>
  <c r="I6" i="2" s="1"/>
  <c r="E5" i="2"/>
  <c r="F5" i="2" s="1"/>
  <c r="E6" i="2"/>
  <c r="F6" i="2" s="1"/>
  <c r="E7" i="2"/>
  <c r="F7" i="2" s="1"/>
  <c r="E4" i="2"/>
  <c r="H5" i="6" l="1"/>
  <c r="I5" i="6" s="1"/>
  <c r="H6" i="6"/>
  <c r="I6" i="6" s="1"/>
  <c r="H7" i="6"/>
  <c r="I7" i="6" s="1"/>
  <c r="E9" i="5"/>
  <c r="F9" i="5" s="1"/>
  <c r="H4" i="3"/>
  <c r="H10" i="3"/>
  <c r="I10" i="3" s="1"/>
  <c r="H6" i="3"/>
  <c r="I6" i="3" s="1"/>
  <c r="F4" i="3"/>
  <c r="F11" i="3" s="1"/>
  <c r="E11" i="3"/>
  <c r="H5" i="2"/>
  <c r="I5" i="2" s="1"/>
  <c r="H7" i="2"/>
  <c r="I7" i="2" s="1"/>
  <c r="H4" i="2"/>
  <c r="F4" i="2"/>
  <c r="F8" i="2" s="1"/>
  <c r="E8" i="2"/>
  <c r="F4" i="4"/>
  <c r="F7" i="4" s="1"/>
  <c r="E7" i="4"/>
  <c r="H4" i="6"/>
  <c r="F8" i="6"/>
  <c r="I4" i="6"/>
  <c r="E8" i="6"/>
  <c r="H6" i="5"/>
  <c r="I6" i="5" s="1"/>
  <c r="H8" i="5"/>
  <c r="I8" i="5" s="1"/>
  <c r="H4" i="5"/>
  <c r="H7" i="5"/>
  <c r="I7" i="5" s="1"/>
  <c r="I4" i="4"/>
  <c r="H6" i="4"/>
  <c r="I6" i="4" s="1"/>
  <c r="H5" i="4"/>
  <c r="I5" i="4" s="1"/>
  <c r="H9" i="3"/>
  <c r="I9" i="3" s="1"/>
  <c r="H7" i="3"/>
  <c r="H8" i="3"/>
  <c r="I8" i="3" s="1"/>
  <c r="I4" i="5" l="1"/>
  <c r="I9" i="5" s="1"/>
  <c r="H9" i="5"/>
  <c r="I4" i="3"/>
  <c r="H11" i="3"/>
  <c r="I4" i="2"/>
  <c r="I8" i="2" s="1"/>
  <c r="H8" i="2"/>
  <c r="I7" i="4"/>
  <c r="H8" i="6"/>
  <c r="I8" i="6"/>
  <c r="H7" i="4"/>
  <c r="I7" i="3"/>
  <c r="I11" i="3" s="1"/>
</calcChain>
</file>

<file path=xl/sharedStrings.xml><?xml version="1.0" encoding="utf-8"?>
<sst xmlns="http://schemas.openxmlformats.org/spreadsheetml/2006/main" count="209" uniqueCount="118">
  <si>
    <t>INVENTARIOS</t>
  </si>
  <si>
    <t>ESPERAS</t>
  </si>
  <si>
    <t>MAQUINAS</t>
  </si>
  <si>
    <t>MATERIALES</t>
  </si>
  <si>
    <t>MOVIMIENTOS INNECESARIOS</t>
  </si>
  <si>
    <t>ESPERANDO MATERIAL</t>
  </si>
  <si>
    <t>ESPERANDO POR HERRAMIENTAS NO DISPONIBLES</t>
  </si>
  <si>
    <t>MODIFICACIONES POR ERRORES DE CONTRUCCION</t>
  </si>
  <si>
    <t>TRANSLADOS A OTRAS AREAS DE TRABAJO</t>
  </si>
  <si>
    <t>INTERFERENCIA CON OTROS GRUPOS DE TRABAJO</t>
  </si>
  <si>
    <t>PERDIDA DE MATERIAL</t>
  </si>
  <si>
    <t>MOVIMIENTO INNECESARIO DE MATERIAL</t>
  </si>
  <si>
    <t>ERROR EN LA CANTIDAD DE PEDIDOS</t>
  </si>
  <si>
    <t>COLABORADORES OCCIOSOS A CAUSA DE FALTA DE ORDENES</t>
  </si>
  <si>
    <t>FALTA DE MANTENIMIENTO PREVENTIVO</t>
  </si>
  <si>
    <t>FALTA DE CALIDAD DE MATERIALES</t>
  </si>
  <si>
    <t>RETRASO EN LA OBRA A CAUSA DE FACTORES CLIMATICOS</t>
  </si>
  <si>
    <t>ESPECIFICACIONES POCO ACERTADAS EN MAQUINAS-HERRAMIENTAS</t>
  </si>
  <si>
    <t>NUMERO INSUFICIENTE DE MAQUINARIA</t>
  </si>
  <si>
    <t xml:space="preserve">EXCESO DE POLUCION </t>
  </si>
  <si>
    <t>FALTA DE SUPERVICION</t>
  </si>
  <si>
    <t>DESPLAZAMIENTO EXCESIVO POR MATERIAL</t>
  </si>
  <si>
    <t>MALA SELECCIÓN DE PROVEEDORES</t>
  </si>
  <si>
    <t>FALTA DE CAPACITACION DE PERSONAL</t>
  </si>
  <si>
    <t>TALENTO HUMANO</t>
  </si>
  <si>
    <t>REPROCESAMIENTO</t>
  </si>
  <si>
    <t>AMBIENTE DE TRABAJO</t>
  </si>
  <si>
    <t>DESORDEN EN AREAS DE TRABAJO</t>
  </si>
  <si>
    <t>DESPERDICIO DE EXPERIENCIA DEL PERSONAL</t>
  </si>
  <si>
    <t>COMPARTIR HERRAMIENTAS EN FRENTES DE TRABAJO</t>
  </si>
  <si>
    <t>ALTA ROTACION DE PERSONAL</t>
  </si>
  <si>
    <t>SE TIENE QUE VOLVER A CAPACITAR AL PERSONAL</t>
  </si>
  <si>
    <t xml:space="preserve">USO INADECUADO </t>
  </si>
  <si>
    <t>POCAS MAQUINAS-HERRAMIENTAS PARA EL NUMERO DE TRABAJDORES EN LOS DIFERENTES FRENTES DE TRABAJO</t>
  </si>
  <si>
    <t>EL USO NO OPTIMO DE CADA MAQUINA-HERRAMIENTA EN OTRA LABOR O ACTIVIDAD</t>
  </si>
  <si>
    <t>NUMERO DE INCENTIVOS PARA EL TRABAJADOR</t>
  </si>
  <si>
    <t>MATERIAL LEJANO AL FRENTE DE TRABAJO</t>
  </si>
  <si>
    <t>TRANSLADO DE MATERIAL ANTES DE SU USO</t>
  </si>
  <si>
    <t>ASIGNACION DE TABAJADORES A VARIOS FRENTES DE TRABAJO EN EL DIA.</t>
  </si>
  <si>
    <t xml:space="preserve">EL COLABORADOR TIENE QUE DESPLAZARSE A BUSCAR LA HERRAMIENTA EN OTROMFRENTE DE TRABAJO </t>
  </si>
  <si>
    <t>PEDIDOS ENTREGADOS CON RETRASO</t>
  </si>
  <si>
    <t>SE TIENE QUE ESPERAR A QUE SE CULMINE LA ACTIVIDAD PREDECESORA</t>
  </si>
  <si>
    <t xml:space="preserve">NO SE REALIZA UNA ADECUADA SELECCIÓN CON BUENOS PROCEDIMIENTOS </t>
  </si>
  <si>
    <t xml:space="preserve">FALTA DE ORDEN EN STOCK </t>
  </si>
  <si>
    <t>NO PERMITE DETERMINAR LAS EXISTENCIAS EN STOCK; QUE HAY Y QUE CANTIDADES</t>
  </si>
  <si>
    <t>ERRORES A CORREGIR</t>
  </si>
  <si>
    <t>SE PRESTA POCA ATENCION A LAS ACTIVIDADES POR PARTE DE LOS ENCARGADOS DE OBRA</t>
  </si>
  <si>
    <t>ACTIVIDADES EJECUTADAS DE MANERA ERRONEA</t>
  </si>
  <si>
    <t>POR FALTA DE STOCK SE ADQUIERE LO FALTANTE DE CALIDAD O MARCA DISPONIBLE</t>
  </si>
  <si>
    <t>NIVELES ELEVADOS DE RUIDO</t>
  </si>
  <si>
    <t>SE PRODUCE A CAUSA DE FUNCIONAMIENTO DE LA MAQUINARIA ENCENDIDA EN LUGARES CERRADOS</t>
  </si>
  <si>
    <t>ACCIDENTES EN OBRA</t>
  </si>
  <si>
    <t>AREAS CONGESTIONADOS CON TRABAJADORES</t>
  </si>
  <si>
    <t>NUMERO DE TRABAJADORES REQUERIDOS EN CADA AREA DE TRABAJO</t>
  </si>
  <si>
    <t>TRABAJADORES SIN TAREAS ASIGNADAS</t>
  </si>
  <si>
    <t>NUMERO DE LLUVIAS TORRENCIALES</t>
  </si>
  <si>
    <t>FALTA DE INCENTIVOS</t>
  </si>
  <si>
    <t>EL TRABAJADOR SE ENCUENTRA EN OCIOSO ESPERANDO HERRAMEINTAS</t>
  </si>
  <si>
    <t>PERSONAL EN OCIOSO POR FALTA DE MATERIALES PARA EJECUTAR SU ACTIVIDAD</t>
  </si>
  <si>
    <t>NO SE TIENE CON CLARIDAD LA CANTIDAD DE MATERIAL A PEDIR</t>
  </si>
  <si>
    <t>ROTACION DE PERSONAL</t>
  </si>
  <si>
    <t>NUMERO DE MANTENIMENTOS PROGRAMADOS</t>
  </si>
  <si>
    <t>ESPECIFICACIONES FICTICIAS Y POCO REALES PROPORCIONADAS EN LA MAQUINA- HERRAMINETA POR EL PROVEEDOR</t>
  </si>
  <si>
    <t>CANTIDAD DE MATERIAL PARTICULADO EN EL AMBIENTE</t>
  </si>
  <si>
    <t xml:space="preserve">MUDAS LEAN </t>
  </si>
  <si>
    <t>DEFICIENTES CONDICIONES LABORALES</t>
  </si>
  <si>
    <t xml:space="preserve">DESCRIPCION </t>
  </si>
  <si>
    <t xml:space="preserve">HERRAMIENTA LEAN </t>
  </si>
  <si>
    <t>ERROR EN DISEÑOS</t>
  </si>
  <si>
    <t>BIM REVIT</t>
  </si>
  <si>
    <t>X</t>
  </si>
  <si>
    <t>MANTENIMIENTO PRODUCTIVO TOTAL (TPM)</t>
  </si>
  <si>
    <t>Un método para analizar y reducir significativamente el tiempo de cambio de modelo. el tiempo entre la última pieza de una corrida de producción y la primera pieza de la siguiente corrida de producción después del cambio.</t>
  </si>
  <si>
    <t>5S</t>
  </si>
  <si>
    <t>Es la base de Lean Manufacturing y los fundamentos de un enfoque disciplinado del lugar de trabajo.</t>
  </si>
  <si>
    <t>POKA YOKE</t>
  </si>
  <si>
    <t>Poka Yoke es un proceso de mejora para prevenir un defecto específico que pueda ocurrir. Se diseña el sistema tal que sea intuitivo para el operador realizar la actividad bien, siendo una y solo una manera de realizarla sin dar opciones a errores.</t>
  </si>
  <si>
    <t>GESTIÓN VISUAL</t>
  </si>
  <si>
    <t>Una serie de tarjetas asociadas a cada pieza que contienen información clave para la fabricación.
Un tablero, físico o virtual, en el que aparece la fase del proceso en el que se encuentra cada pieza o producto</t>
  </si>
  <si>
    <t>La gestión visual está enfocada a guiar a las personas a una toma de decisiones correcta, por ejemplo: señalamientos de advertencia, peligro, precaución, etc. Sin embargo hay situaciones específicas que este tipo de comunicación visual es vital para evitar errores en los procesos operativos.</t>
  </si>
  <si>
    <t>CAUSA</t>
  </si>
  <si>
    <t>JUSTO A TIEMPO</t>
  </si>
  <si>
    <t>El Just in time (justo a tiempo) tiene una ideología simple, que el inventario es una perdida
para la producción porque incurre en costos innecesarios, por tal motivo este modelo de
gestión de recursos que está basado en los principios del lean production trata de
minimizarlo al máximo gestionando adecuadamente el abastecimiento de materiales.</t>
  </si>
  <si>
    <t xml:space="preserve">FALTA DE PLANIFICACION </t>
  </si>
  <si>
    <t>%</t>
  </si>
  <si>
    <t xml:space="preserve">ORDEN </t>
  </si>
  <si>
    <t>VISITAS</t>
  </si>
  <si>
    <t>VECES</t>
  </si>
  <si>
    <t>VECES ENTERO</t>
  </si>
  <si>
    <t>MUDAS</t>
  </si>
  <si>
    <t>FRECUENCIA</t>
  </si>
  <si>
    <t>Acumulado</t>
  </si>
  <si>
    <t>% Acumulado</t>
  </si>
  <si>
    <t>LAST PLANNER SYSTEM</t>
  </si>
  <si>
    <t>PRUEBA DE LOS 5 MINUTOS</t>
  </si>
  <si>
    <t>CANTIDAD DE MATERIAL PERDIDO POR INADECUADO ALMACENAMIENTO</t>
  </si>
  <si>
    <t xml:space="preserve">El sistema del último planificador (Last Planner System, LPS) es un sistema de producción en construcción que incorpora metodología Lean a la construcción para conseguir </t>
  </si>
  <si>
    <t xml:space="preserve">DETERIORO DEL MATERIAL </t>
  </si>
  <si>
    <t>POR DESCUIDO DEL PEROSNAL DE OBRA</t>
  </si>
  <si>
    <t>RETRASO A CAUSA DE ENTREGA DE MATERIAL</t>
  </si>
  <si>
    <t>HERRAMIENTAS QUE IMPACTAN LA MUDA</t>
  </si>
  <si>
    <t>TPM es una metodología que asegura mejoras rápidas y continuas en la manufactura al eliminar averías en los equipos
– Mantenimiento Predictivo
– Mantenimiento Preventivo
– Mantenimiento Correctivo</t>
  </si>
  <si>
    <t>PORCENTAJE OBSERVACIÓN</t>
  </si>
  <si>
    <t>TOTAL PORCENTAJE</t>
  </si>
  <si>
    <t>CARACTERIAZACIÓN DE MUDAS</t>
  </si>
  <si>
    <t>OBSERVACIONES</t>
  </si>
  <si>
    <t>observaciones</t>
  </si>
  <si>
    <t>NUMERO DE MUDAS QUE IMPACTA LA HERRAMIENTA</t>
  </si>
  <si>
    <t>PORCENTAJE DE IMPACTO DE LA HERRAMIENTA</t>
  </si>
  <si>
    <t>SECUENCIA DE IMPORTANCIA</t>
  </si>
  <si>
    <t>NOMBRE DE LA HERRAMIENTA</t>
  </si>
  <si>
    <t>NUMERO DE MUDAS QUE SON IMPACTADAS POR LA HERRAMIENTA</t>
  </si>
  <si>
    <t>PORCENTAJE DE IMPACTO DE LA HERRAMIENTA SOBRE MUDAS</t>
  </si>
  <si>
    <t>SECUENCIA DE IMPORTANCIA DE LAS HERRAMIENTAS LEAN</t>
  </si>
  <si>
    <t>¿Las herramientas y equipo cuentan con espacios específicos de almacenamiento cuando no se están usando?</t>
  </si>
  <si>
    <t>PREGUNTA</t>
  </si>
  <si>
    <t>¿Se realiza mantenimiento frecuente a las herramientas?</t>
  </si>
  <si>
    <t>Los colaboradores bridarón información sobre el estado de las herramientas. Indicarón que el numero de herramientas y el mal estado de algunas hacen que se dificulte el realizar las actividades. Esto se ve en parte afectado por el estado del herramientero, que no cobija del cima optimamente las maquinas y herramientas. El personal administrativo indica que podria haber una mejora si el personal se comprometiera en dar un mejor cuidado de las herramientas.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</si>
</sst>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4" x14ac:knownFonts="1">
    <font>
      <sz val="11"/>
      <color theme="1"/>
      <name val="Calibri"/>
      <family val="2"/>
      <scheme val="minor"/>
    </font>
    <font>
      <sz val="11"/>
      <color theme="1"/>
      <name val="Calibri"/>
      <family val="2"/>
      <scheme val="minor"/>
    </font>
    <font>
      <b/>
      <i/>
      <sz val="11"/>
      <color theme="1"/>
      <name val="Calibri"/>
      <family val="2"/>
      <scheme val="minor"/>
    </font>
    <font>
      <b/>
      <i/>
      <sz val="12"/>
      <color theme="1"/>
      <name val="Calibri"/>
      <family val="2"/>
      <scheme val="minor"/>
    </font>
    <font>
      <sz val="10"/>
      <color theme="1"/>
      <name val="Times New Roman"/>
      <family val="1"/>
    </font>
    <font>
      <b/>
      <sz val="10"/>
      <color theme="1"/>
      <name val="Times New Roman"/>
      <family val="1"/>
    </font>
    <font>
      <b/>
      <sz val="11"/>
      <color theme="1"/>
      <name val="Times New Roman"/>
      <family val="1"/>
    </font>
    <font>
      <sz val="8"/>
      <color theme="1"/>
      <name val="Times New Roman"/>
      <family val="1"/>
    </font>
    <font>
      <b/>
      <sz val="8"/>
      <color theme="0"/>
      <name val="Times New Roman"/>
      <family val="1"/>
    </font>
    <font>
      <b/>
      <sz val="8"/>
      <name val="Times New Roman"/>
      <family val="1"/>
    </font>
    <font>
      <sz val="7"/>
      <color theme="1"/>
      <name val="Times New Roman"/>
      <family val="1"/>
    </font>
    <font>
      <b/>
      <i/>
      <sz val="7"/>
      <color theme="1"/>
      <name val="Times New Roman"/>
      <family val="1"/>
    </font>
    <font>
      <i/>
      <sz val="7"/>
      <color theme="1"/>
      <name val="Times New Roman"/>
      <family val="1"/>
    </font>
    <font>
      <b/>
      <sz val="7"/>
      <color theme="1"/>
      <name val="Times New Roman"/>
      <family val="1"/>
    </font>
    <font>
      <sz val="9"/>
      <color rgb="FF000000"/>
      <name val="Times New Roman"/>
      <family val="1"/>
    </font>
    <font>
      <sz val="9"/>
      <color theme="1"/>
      <name val="Times New Roman"/>
      <family val="1"/>
    </font>
    <font>
      <sz val="9"/>
      <color theme="0"/>
      <name val="Times New Roman"/>
      <family val="1"/>
    </font>
    <font>
      <b/>
      <sz val="12"/>
      <color rgb="FF002060"/>
      <name val="Times New Roman"/>
      <family val="1"/>
    </font>
    <font>
      <b/>
      <sz val="8"/>
      <color rgb="FF002060"/>
      <name val="Times New Roman"/>
      <family val="1"/>
    </font>
    <font>
      <sz val="10"/>
      <color theme="0"/>
      <name val="Times New Roman"/>
      <family val="1"/>
    </font>
    <font>
      <b/>
      <sz val="11"/>
      <color theme="0"/>
      <name val="Calibri"/>
      <family val="2"/>
      <scheme val="minor"/>
    </font>
    <font>
      <b/>
      <sz val="11"/>
      <color theme="1"/>
      <name val="Calibri"/>
      <family val="2"/>
      <scheme val="minor"/>
    </font>
    <font>
      <i/>
      <sz val="12"/>
      <color theme="1"/>
      <name val="Times New Roman"/>
      <family val="1"/>
    </font>
    <font>
      <sz val="11"/>
      <color theme="1"/>
      <name val="Times New Roman"/>
      <family val="1"/>
    </font>
  </fonts>
  <fills count="15">
    <fill>
      <patternFill patternType="none"/>
    </fill>
    <fill>
      <patternFill patternType="gray125"/>
    </fill>
    <fill>
      <patternFill patternType="solid">
        <fgColor theme="9" tint="0.59999389629810485"/>
        <bgColor indexed="64"/>
      </patternFill>
    </fill>
    <fill>
      <patternFill patternType="solid">
        <fgColor theme="1" tint="0.249977111117893"/>
        <bgColor indexed="64"/>
      </patternFill>
    </fill>
    <fill>
      <patternFill patternType="solid">
        <fgColor rgb="FF002060"/>
        <bgColor indexed="64"/>
      </patternFill>
    </fill>
    <fill>
      <patternFill patternType="solid">
        <fgColor rgb="FFC00000"/>
        <bgColor indexed="64"/>
      </patternFill>
    </fill>
    <fill>
      <patternFill patternType="solid">
        <fgColor rgb="FFFFFF00"/>
        <bgColor indexed="64"/>
      </patternFill>
    </fill>
    <fill>
      <patternFill patternType="solid">
        <fgColor rgb="FFD09E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FFC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92">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9" fontId="0" fillId="0" borderId="1" xfId="1" applyFont="1" applyBorder="1" applyAlignment="1">
      <alignment horizontal="center" vertical="center"/>
    </xf>
    <xf numFmtId="2" fontId="0" fillId="0" borderId="1" xfId="1" applyNumberFormat="1" applyFont="1" applyBorder="1" applyAlignment="1">
      <alignment horizontal="center" vertical="center" wrapText="1"/>
    </xf>
    <xf numFmtId="2" fontId="0" fillId="0" borderId="1" xfId="1" applyNumberFormat="1" applyFont="1" applyBorder="1" applyAlignment="1">
      <alignment horizontal="center" vertical="center"/>
    </xf>
    <xf numFmtId="164" fontId="0" fillId="0" borderId="1" xfId="1" applyNumberFormat="1" applyFont="1" applyBorder="1" applyAlignment="1">
      <alignment horizontal="center" vertical="center" wrapText="1"/>
    </xf>
    <xf numFmtId="164" fontId="0" fillId="0" borderId="1" xfId="1" applyNumberFormat="1" applyFont="1" applyBorder="1" applyAlignment="1">
      <alignment horizontal="center" vertical="center"/>
    </xf>
    <xf numFmtId="10" fontId="0" fillId="0" borderId="1" xfId="1" applyNumberFormat="1" applyFont="1" applyBorder="1" applyAlignment="1">
      <alignment horizontal="center" vertical="center" wrapText="1"/>
    </xf>
    <xf numFmtId="10" fontId="0" fillId="0" borderId="0" xfId="0" applyNumberFormat="1"/>
    <xf numFmtId="10" fontId="0" fillId="6" borderId="1" xfId="0" applyNumberFormat="1" applyFill="1" applyBorder="1"/>
    <xf numFmtId="10" fontId="0" fillId="6" borderId="1" xfId="1" applyNumberFormat="1" applyFont="1" applyFill="1" applyBorder="1" applyAlignment="1">
      <alignment horizontal="center" vertical="center" wrapText="1"/>
    </xf>
    <xf numFmtId="2" fontId="0" fillId="6" borderId="1" xfId="1" applyNumberFormat="1" applyFont="1" applyFill="1" applyBorder="1" applyAlignment="1">
      <alignment horizontal="center" vertical="center" wrapText="1"/>
    </xf>
    <xf numFmtId="2" fontId="0" fillId="6" borderId="1" xfId="0" applyNumberFormat="1" applyFill="1" applyBorder="1"/>
    <xf numFmtId="9" fontId="0" fillId="6" borderId="1" xfId="0" applyNumberFormat="1" applyFill="1" applyBorder="1"/>
    <xf numFmtId="164" fontId="0" fillId="6" borderId="1" xfId="0" applyNumberFormat="1" applyFill="1" applyBorder="1"/>
    <xf numFmtId="10" fontId="0" fillId="0" borderId="0" xfId="1" applyNumberFormat="1" applyFont="1"/>
    <xf numFmtId="2" fontId="0" fillId="6" borderId="1" xfId="0" applyNumberFormat="1" applyFill="1" applyBorder="1" applyAlignment="1">
      <alignment horizontal="center" vertical="center"/>
    </xf>
    <xf numFmtId="9" fontId="0" fillId="6" borderId="1" xfId="0" applyNumberFormat="1" applyFill="1" applyBorder="1" applyAlignment="1">
      <alignment horizontal="center" vertical="center"/>
    </xf>
    <xf numFmtId="164" fontId="0" fillId="6" borderId="1" xfId="1" applyNumberFormat="1" applyFont="1" applyFill="1" applyBorder="1" applyAlignment="1">
      <alignment horizontal="center" vertical="center"/>
    </xf>
    <xf numFmtId="9" fontId="0" fillId="6" borderId="1" xfId="1" applyNumberFormat="1"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9" fontId="3" fillId="0" borderId="0" xfId="0" applyNumberFormat="1" applyFont="1" applyAlignment="1">
      <alignment horizontal="center"/>
    </xf>
    <xf numFmtId="0" fontId="4" fillId="0" borderId="0" xfId="0" applyFont="1"/>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0" fontId="7" fillId="0" borderId="0" xfId="0" applyFont="1"/>
    <xf numFmtId="0" fontId="7" fillId="0" borderId="0" xfId="0" applyFont="1" applyAlignment="1">
      <alignment horizontal="center" vertical="center" wrapText="1"/>
    </xf>
    <xf numFmtId="0" fontId="8" fillId="5"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0" borderId="0" xfId="0" applyFont="1"/>
    <xf numFmtId="0" fontId="13" fillId="2" borderId="20"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0" xfId="0" applyFont="1"/>
    <xf numFmtId="9" fontId="15" fillId="0" borderId="16" xfId="0" applyNumberFormat="1" applyFont="1" applyBorder="1" applyAlignment="1">
      <alignment horizontal="center" vertical="center" wrapText="1"/>
    </xf>
    <xf numFmtId="9" fontId="15" fillId="0" borderId="21" xfId="0" applyNumberFormat="1" applyFont="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5" fillId="9" borderId="26" xfId="0" applyFont="1" applyFill="1" applyBorder="1" applyAlignment="1">
      <alignment horizontal="center" vertical="center" wrapText="1"/>
    </xf>
    <xf numFmtId="164" fontId="15" fillId="9" borderId="26" xfId="1"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5" fillId="9" borderId="27" xfId="0" applyFont="1" applyFill="1" applyBorder="1" applyAlignment="1">
      <alignment horizontal="center" vertical="center" wrapText="1"/>
    </xf>
    <xf numFmtId="164" fontId="15" fillId="9" borderId="27" xfId="1"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5" fillId="9" borderId="28" xfId="0" applyFont="1" applyFill="1" applyBorder="1" applyAlignment="1">
      <alignment horizontal="center" vertical="center" wrapText="1"/>
    </xf>
    <xf numFmtId="164" fontId="15" fillId="9" borderId="28" xfId="1" applyNumberFormat="1" applyFont="1" applyFill="1" applyBorder="1" applyAlignment="1">
      <alignment horizontal="center" vertical="center" wrapText="1"/>
    </xf>
    <xf numFmtId="0" fontId="10" fillId="9" borderId="9"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35" xfId="0" applyFont="1" applyFill="1" applyBorder="1" applyAlignment="1">
      <alignment horizontal="center" vertical="center" wrapText="1"/>
    </xf>
    <xf numFmtId="0" fontId="15" fillId="9" borderId="36" xfId="0" applyFont="1" applyFill="1" applyBorder="1" applyAlignment="1">
      <alignment horizontal="center" vertical="center" wrapText="1"/>
    </xf>
    <xf numFmtId="164" fontId="15" fillId="9" borderId="36" xfId="1" applyNumberFormat="1" applyFont="1" applyFill="1" applyBorder="1" applyAlignment="1">
      <alignment horizontal="center" vertical="center" wrapText="1"/>
    </xf>
    <xf numFmtId="0" fontId="10" fillId="9" borderId="7" xfId="0" applyFont="1" applyFill="1" applyBorder="1" applyAlignment="1">
      <alignment horizontal="center" vertical="center" wrapText="1"/>
    </xf>
    <xf numFmtId="10" fontId="15" fillId="9" borderId="26" xfId="1" applyNumberFormat="1"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0" fillId="9" borderId="34" xfId="0" applyFont="1" applyFill="1" applyBorder="1" applyAlignment="1">
      <alignment horizontal="center" vertical="center" wrapText="1"/>
    </xf>
    <xf numFmtId="9" fontId="16" fillId="4" borderId="7" xfId="1" applyNumberFormat="1" applyFont="1" applyFill="1" applyBorder="1" applyAlignment="1">
      <alignment horizontal="center" vertical="center" wrapText="1"/>
    </xf>
    <xf numFmtId="9" fontId="16" fillId="4" borderId="20" xfId="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15" fillId="10" borderId="26"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5" fillId="10" borderId="27"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25" xfId="0" applyFont="1" applyFill="1" applyBorder="1" applyAlignment="1">
      <alignment horizontal="center" vertical="center" wrapText="1"/>
    </xf>
    <xf numFmtId="0" fontId="15" fillId="10" borderId="28" xfId="0" applyFont="1" applyFill="1" applyBorder="1" applyAlignment="1">
      <alignment horizontal="center" vertical="center" wrapText="1"/>
    </xf>
    <xf numFmtId="164" fontId="15" fillId="10" borderId="26" xfId="1" applyNumberFormat="1" applyFont="1" applyFill="1" applyBorder="1" applyAlignment="1">
      <alignment horizontal="center" vertical="center" wrapText="1"/>
    </xf>
    <xf numFmtId="164" fontId="15" fillId="10" borderId="27" xfId="1" applyNumberFormat="1" applyFont="1" applyFill="1" applyBorder="1" applyAlignment="1">
      <alignment horizontal="center" vertical="center" wrapText="1"/>
    </xf>
    <xf numFmtId="164" fontId="15" fillId="10" borderId="28" xfId="1" applyNumberFormat="1"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5" fillId="8" borderId="26" xfId="0" applyFont="1" applyFill="1" applyBorder="1" applyAlignment="1">
      <alignment horizontal="center" vertical="center" wrapText="1"/>
    </xf>
    <xf numFmtId="164" fontId="15" fillId="8" borderId="26" xfId="1" applyNumberFormat="1"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5" fillId="8" borderId="27" xfId="0" applyFont="1" applyFill="1" applyBorder="1" applyAlignment="1">
      <alignment horizontal="center" vertical="center" wrapText="1"/>
    </xf>
    <xf numFmtId="164" fontId="15" fillId="8" borderId="27" xfId="1"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5" fillId="8" borderId="28" xfId="0" applyFont="1" applyFill="1" applyBorder="1" applyAlignment="1">
      <alignment horizontal="center" vertical="center" wrapText="1"/>
    </xf>
    <xf numFmtId="164" fontId="15" fillId="8" borderId="28" xfId="1" applyNumberFormat="1" applyFont="1" applyFill="1" applyBorder="1" applyAlignment="1">
      <alignment horizontal="center" vertical="center" wrapText="1"/>
    </xf>
    <xf numFmtId="0" fontId="10" fillId="8" borderId="7" xfId="0" applyFont="1" applyFill="1" applyBorder="1" applyAlignment="1">
      <alignment horizontal="center" vertical="center" wrapText="1"/>
    </xf>
    <xf numFmtId="10" fontId="15" fillId="8" borderId="26" xfId="1"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10" fontId="15" fillId="8" borderId="27" xfId="1" applyNumberFormat="1" applyFont="1" applyFill="1" applyBorder="1" applyAlignment="1">
      <alignment horizontal="center" vertical="center" wrapText="1"/>
    </xf>
    <xf numFmtId="0" fontId="10" fillId="8" borderId="34" xfId="0" applyFont="1" applyFill="1" applyBorder="1" applyAlignment="1">
      <alignment horizontal="center" vertical="center" wrapText="1"/>
    </xf>
    <xf numFmtId="10" fontId="15" fillId="8" borderId="28" xfId="1" applyNumberFormat="1" applyFont="1" applyFill="1" applyBorder="1" applyAlignment="1">
      <alignment horizontal="center" vertical="center" wrapText="1"/>
    </xf>
    <xf numFmtId="0" fontId="0" fillId="0" borderId="0" xfId="1" applyNumberFormat="1" applyFont="1"/>
    <xf numFmtId="10" fontId="0" fillId="0" borderId="0" xfId="1" applyNumberFormat="1" applyFont="1" applyAlignment="1">
      <alignment horizontal="center"/>
    </xf>
    <xf numFmtId="0" fontId="0" fillId="9" borderId="1" xfId="0" applyFill="1" applyBorder="1" applyAlignment="1">
      <alignment horizontal="center" vertical="center" wrapText="1"/>
    </xf>
    <xf numFmtId="9" fontId="0" fillId="11" borderId="1" xfId="1" applyFont="1" applyFill="1" applyBorder="1" applyAlignment="1">
      <alignment horizontal="center" vertical="center" wrapText="1"/>
    </xf>
    <xf numFmtId="0" fontId="0" fillId="12" borderId="1" xfId="0" applyFill="1" applyBorder="1" applyAlignment="1">
      <alignment horizontal="center" vertical="center" wrapText="1"/>
    </xf>
    <xf numFmtId="0" fontId="0" fillId="5" borderId="1" xfId="0" applyFill="1" applyBorder="1" applyAlignment="1">
      <alignment horizontal="center" vertical="center" wrapText="1"/>
    </xf>
    <xf numFmtId="0" fontId="0" fillId="14" borderId="1" xfId="0" applyFill="1" applyBorder="1" applyAlignment="1">
      <alignment horizontal="center" vertical="center" wrapText="1"/>
    </xf>
    <xf numFmtId="0" fontId="0" fillId="6" borderId="1" xfId="0" applyFill="1" applyBorder="1" applyAlignment="1">
      <alignment horizontal="center" vertical="center" wrapText="1"/>
    </xf>
    <xf numFmtId="0" fontId="6" fillId="0" borderId="16" xfId="0" applyFont="1" applyBorder="1" applyAlignment="1">
      <alignment horizontal="center" vertical="center"/>
    </xf>
    <xf numFmtId="0" fontId="22" fillId="0" borderId="16" xfId="0" applyFont="1" applyBorder="1" applyAlignment="1">
      <alignment horizontal="center" vertical="center" wrapText="1"/>
    </xf>
    <xf numFmtId="0" fontId="23" fillId="0" borderId="16" xfId="0" applyFont="1" applyBorder="1" applyAlignment="1">
      <alignment horizontal="center" vertical="center" wrapText="1"/>
    </xf>
    <xf numFmtId="0" fontId="21" fillId="9"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5" fillId="8" borderId="4" xfId="0" applyFont="1" applyFill="1" applyBorder="1" applyAlignment="1">
      <alignment horizontal="center" vertical="center" textRotation="90" wrapText="1"/>
    </xf>
    <xf numFmtId="0" fontId="5" fillId="8" borderId="5" xfId="0" applyFont="1" applyFill="1" applyBorder="1" applyAlignment="1">
      <alignment horizontal="center" vertical="center" textRotation="90" wrapText="1"/>
    </xf>
    <xf numFmtId="0" fontId="5" fillId="8" borderId="6" xfId="0" applyFont="1" applyFill="1" applyBorder="1" applyAlignment="1">
      <alignment horizontal="center" vertical="center" textRotation="90" wrapText="1"/>
    </xf>
    <xf numFmtId="164" fontId="15" fillId="8" borderId="29" xfId="1" applyNumberFormat="1" applyFont="1" applyFill="1" applyBorder="1" applyAlignment="1">
      <alignment horizontal="center" vertical="center" wrapText="1"/>
    </xf>
    <xf numFmtId="164" fontId="15" fillId="8" borderId="30" xfId="1" applyNumberFormat="1" applyFont="1" applyFill="1" applyBorder="1" applyAlignment="1">
      <alignment horizontal="center" vertical="center" wrapText="1"/>
    </xf>
    <xf numFmtId="164" fontId="15" fillId="8" borderId="31" xfId="1" applyNumberFormat="1" applyFont="1" applyFill="1" applyBorder="1" applyAlignment="1">
      <alignment horizontal="center" vertical="center" wrapText="1"/>
    </xf>
    <xf numFmtId="0" fontId="6" fillId="9" borderId="4" xfId="0" applyFont="1" applyFill="1" applyBorder="1" applyAlignment="1">
      <alignment horizontal="center" vertical="center" textRotation="90" wrapText="1"/>
    </xf>
    <xf numFmtId="0" fontId="6" fillId="9" borderId="5" xfId="0" applyFont="1" applyFill="1" applyBorder="1" applyAlignment="1">
      <alignment horizontal="center" vertical="center" textRotation="90" wrapText="1"/>
    </xf>
    <xf numFmtId="0" fontId="6" fillId="9" borderId="6" xfId="0" applyFont="1" applyFill="1" applyBorder="1" applyAlignment="1">
      <alignment horizontal="center" vertical="center" textRotation="90" wrapText="1"/>
    </xf>
    <xf numFmtId="164" fontId="15" fillId="9" borderId="22" xfId="1" applyNumberFormat="1" applyFont="1" applyFill="1" applyBorder="1" applyAlignment="1">
      <alignment horizontal="center" vertical="center" wrapText="1"/>
    </xf>
    <xf numFmtId="164" fontId="15" fillId="9" borderId="32" xfId="1" applyNumberFormat="1" applyFont="1" applyFill="1" applyBorder="1" applyAlignment="1">
      <alignment horizontal="center" vertical="center" wrapText="1"/>
    </xf>
    <xf numFmtId="164" fontId="15" fillId="9" borderId="33" xfId="1" applyNumberFormat="1" applyFont="1" applyFill="1" applyBorder="1" applyAlignment="1">
      <alignment horizontal="center" vertical="center" wrapText="1"/>
    </xf>
    <xf numFmtId="9" fontId="15" fillId="8" borderId="29" xfId="1" applyNumberFormat="1" applyFont="1" applyFill="1" applyBorder="1" applyAlignment="1">
      <alignment horizontal="center" vertical="center" wrapText="1"/>
    </xf>
    <xf numFmtId="9" fontId="15" fillId="8" borderId="30" xfId="1" applyNumberFormat="1" applyFont="1" applyFill="1" applyBorder="1" applyAlignment="1">
      <alignment horizontal="center" vertical="center" wrapText="1"/>
    </xf>
    <xf numFmtId="9" fontId="15" fillId="8" borderId="31" xfId="1" applyNumberFormat="1" applyFont="1" applyFill="1" applyBorder="1" applyAlignment="1">
      <alignment horizontal="center" vertical="center" wrapText="1"/>
    </xf>
    <xf numFmtId="0" fontId="5" fillId="9" borderId="4" xfId="0" applyFont="1" applyFill="1" applyBorder="1" applyAlignment="1">
      <alignment horizontal="center" vertical="center" textRotation="90" wrapText="1"/>
    </xf>
    <xf numFmtId="0" fontId="5" fillId="9" borderId="5" xfId="0" applyFont="1" applyFill="1" applyBorder="1" applyAlignment="1">
      <alignment horizontal="center" vertical="center" textRotation="90" wrapText="1"/>
    </xf>
    <xf numFmtId="0" fontId="5" fillId="9" borderId="6" xfId="0" applyFont="1" applyFill="1" applyBorder="1" applyAlignment="1">
      <alignment horizontal="center" vertical="center" textRotation="90" wrapText="1"/>
    </xf>
    <xf numFmtId="164" fontId="15" fillId="9" borderId="29" xfId="1" applyNumberFormat="1" applyFont="1" applyFill="1" applyBorder="1" applyAlignment="1">
      <alignment horizontal="center" vertical="center" wrapText="1"/>
    </xf>
    <xf numFmtId="164" fontId="15" fillId="9" borderId="30" xfId="1" applyNumberFormat="1" applyFont="1" applyFill="1" applyBorder="1" applyAlignment="1">
      <alignment horizontal="center" vertical="center" wrapText="1"/>
    </xf>
    <xf numFmtId="164" fontId="15" fillId="9" borderId="31" xfId="1" applyNumberFormat="1" applyFont="1" applyFill="1" applyBorder="1" applyAlignment="1">
      <alignment horizontal="center" vertical="center" wrapText="1"/>
    </xf>
    <xf numFmtId="0" fontId="5" fillId="10" borderId="10" xfId="0" applyFont="1" applyFill="1" applyBorder="1" applyAlignment="1">
      <alignment horizontal="center" vertical="center" textRotation="90" wrapText="1"/>
    </xf>
    <xf numFmtId="0" fontId="5" fillId="10" borderId="11" xfId="0" applyFont="1" applyFill="1" applyBorder="1" applyAlignment="1">
      <alignment horizontal="center" vertical="center" textRotation="90" wrapText="1"/>
    </xf>
    <xf numFmtId="0" fontId="5" fillId="10" borderId="12" xfId="0" applyFont="1" applyFill="1" applyBorder="1" applyAlignment="1">
      <alignment horizontal="center" vertical="center" textRotation="90" wrapText="1"/>
    </xf>
    <xf numFmtId="164" fontId="15" fillId="10" borderId="29" xfId="1" applyNumberFormat="1" applyFont="1" applyFill="1" applyBorder="1" applyAlignment="1">
      <alignment horizontal="center" vertical="center" wrapText="1"/>
    </xf>
    <xf numFmtId="164" fontId="15" fillId="10" borderId="30" xfId="1" applyNumberFormat="1" applyFont="1" applyFill="1" applyBorder="1" applyAlignment="1">
      <alignment horizontal="center" vertical="center" wrapText="1"/>
    </xf>
    <xf numFmtId="164" fontId="15" fillId="10" borderId="31" xfId="1" applyNumberFormat="1" applyFont="1" applyFill="1" applyBorder="1" applyAlignment="1">
      <alignment horizontal="center" vertical="center" wrapText="1"/>
    </xf>
    <xf numFmtId="0" fontId="5" fillId="9" borderId="8" xfId="0" applyFont="1" applyFill="1" applyBorder="1" applyAlignment="1">
      <alignment horizontal="center" vertical="center" textRotation="90" wrapText="1"/>
    </xf>
    <xf numFmtId="164" fontId="15" fillId="9" borderId="37" xfId="1" applyNumberFormat="1" applyFont="1" applyFill="1" applyBorder="1" applyAlignment="1">
      <alignment horizontal="center" vertical="center" wrapText="1"/>
    </xf>
    <xf numFmtId="0" fontId="17" fillId="8" borderId="43" xfId="0" applyFont="1" applyFill="1" applyBorder="1" applyAlignment="1">
      <alignment horizontal="center" vertical="center" wrapText="1"/>
    </xf>
    <xf numFmtId="0" fontId="17" fillId="8" borderId="44" xfId="0" applyFont="1" applyFill="1" applyBorder="1" applyAlignment="1">
      <alignment horizontal="center" vertical="center" wrapText="1"/>
    </xf>
    <xf numFmtId="0" fontId="17" fillId="8" borderId="21" xfId="0" applyFont="1" applyFill="1" applyBorder="1" applyAlignment="1">
      <alignment horizontal="center" vertical="center" wrapText="1"/>
    </xf>
    <xf numFmtId="0" fontId="5" fillId="10" borderId="4" xfId="0" applyFont="1" applyFill="1" applyBorder="1" applyAlignment="1">
      <alignment horizontal="center" vertical="center" textRotation="90" wrapText="1"/>
    </xf>
    <xf numFmtId="0" fontId="5" fillId="10" borderId="5" xfId="0" applyFont="1" applyFill="1" applyBorder="1" applyAlignment="1">
      <alignment horizontal="center" vertical="center" textRotation="90" wrapText="1"/>
    </xf>
    <xf numFmtId="0" fontId="5" fillId="10" borderId="6" xfId="0" applyFont="1" applyFill="1" applyBorder="1" applyAlignment="1">
      <alignment horizontal="center" vertical="center" textRotation="90" wrapText="1"/>
    </xf>
    <xf numFmtId="164" fontId="15" fillId="10" borderId="22" xfId="1" applyNumberFormat="1" applyFont="1" applyFill="1" applyBorder="1" applyAlignment="1">
      <alignment horizontal="center" vertical="center" wrapText="1"/>
    </xf>
    <xf numFmtId="164" fontId="15" fillId="10" borderId="32" xfId="1" applyNumberFormat="1" applyFont="1" applyFill="1" applyBorder="1" applyAlignment="1">
      <alignment horizontal="center" vertical="center" wrapText="1"/>
    </xf>
    <xf numFmtId="164" fontId="15" fillId="10" borderId="33" xfId="1" applyNumberFormat="1"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8" fillId="8" borderId="1" xfId="0" applyFont="1" applyFill="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0" fillId="0" borderId="1" xfId="0" applyBorder="1" applyAlignment="1">
      <alignment horizontal="center" vertical="center" wrapText="1"/>
    </xf>
    <xf numFmtId="10" fontId="0" fillId="0" borderId="1" xfId="1" applyNumberFormat="1" applyFont="1" applyBorder="1" applyAlignment="1">
      <alignment horizontal="center" vertical="center" wrapText="1"/>
    </xf>
    <xf numFmtId="2" fontId="0" fillId="0" borderId="1" xfId="0" applyNumberFormat="1" applyBorder="1" applyAlignment="1">
      <alignment horizontal="center" vertical="center" wrapText="1"/>
    </xf>
    <xf numFmtId="10" fontId="0" fillId="0" borderId="9" xfId="1" applyNumberFormat="1" applyFont="1" applyBorder="1" applyAlignment="1">
      <alignment horizontal="center" vertical="center"/>
    </xf>
    <xf numFmtId="10" fontId="0" fillId="0" borderId="14" xfId="1" applyNumberFormat="1" applyFont="1" applyBorder="1" applyAlignment="1">
      <alignment horizontal="center" vertical="center"/>
    </xf>
    <xf numFmtId="10" fontId="0" fillId="0" borderId="13" xfId="1" applyNumberFormat="1" applyFont="1" applyBorder="1" applyAlignment="1">
      <alignment horizontal="center" vertical="center"/>
    </xf>
    <xf numFmtId="2" fontId="0" fillId="0" borderId="9" xfId="0" applyNumberFormat="1" applyBorder="1" applyAlignment="1">
      <alignment horizontal="center" vertical="center" wrapText="1"/>
    </xf>
    <xf numFmtId="2" fontId="0" fillId="0" borderId="14" xfId="0" applyNumberFormat="1" applyBorder="1" applyAlignment="1">
      <alignment horizontal="center" vertical="center" wrapText="1"/>
    </xf>
    <xf numFmtId="2" fontId="0" fillId="0" borderId="13" xfId="0" applyNumberFormat="1" applyBorder="1" applyAlignment="1">
      <alignment horizontal="center" vertical="center" wrapText="1"/>
    </xf>
    <xf numFmtId="10" fontId="0" fillId="0" borderId="9" xfId="1" applyNumberFormat="1" applyFont="1" applyBorder="1" applyAlignment="1">
      <alignment horizontal="center" vertical="center" wrapText="1"/>
    </xf>
    <xf numFmtId="10" fontId="0" fillId="0" borderId="14" xfId="1" applyNumberFormat="1" applyFont="1" applyBorder="1" applyAlignment="1">
      <alignment horizontal="center" vertical="center" wrapText="1"/>
    </xf>
    <xf numFmtId="10" fontId="0" fillId="0" borderId="13" xfId="1" applyNumberFormat="1" applyFont="1" applyBorder="1" applyAlignment="1">
      <alignment horizontal="center" vertical="center" wrapText="1"/>
    </xf>
  </cellXfs>
  <cellStyles count="2">
    <cellStyle name="Normal" xfId="0" builtinId="0"/>
    <cellStyle name="Porcentaje" xfId="1" builtinId="5"/>
  </cellStyles>
  <dxfs count="0"/>
  <tableStyles count="1" defaultTableStyle="TableStyleMedium2" defaultPivotStyle="PivotStyleLight16">
    <tableStyle name="Invisible" pivot="0" table="0" count="0" xr9:uid="{00000000-0011-0000-FFFF-FFFF00000000}"/>
  </tableStyles>
  <colors>
    <mruColors>
      <color rgb="FFD09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PARETO</a:t>
            </a:r>
            <a:r>
              <a:rPr lang="es-CO" baseline="0"/>
              <a:t> CARACTERIZACIÓN DE MUDAS LPC SAS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PARETO!$C$4</c:f>
              <c:strCache>
                <c:ptCount val="1"/>
                <c:pt idx="0">
                  <c:v>FRECUENCIA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PARETO!$B$5:$B$12</c:f>
              <c:strCache>
                <c:ptCount val="8"/>
                <c:pt idx="0">
                  <c:v>MAQUINAS</c:v>
                </c:pt>
                <c:pt idx="1">
                  <c:v>ESPERAS</c:v>
                </c:pt>
                <c:pt idx="2">
                  <c:v>MOVIMIENTOS INNECESARIOS</c:v>
                </c:pt>
                <c:pt idx="3">
                  <c:v>REPROCESAMIENTO</c:v>
                </c:pt>
                <c:pt idx="4">
                  <c:v>TALENTO HUMANO</c:v>
                </c:pt>
                <c:pt idx="5">
                  <c:v>MATERIALES</c:v>
                </c:pt>
                <c:pt idx="6">
                  <c:v>AMBIENTE DE TRABAJO</c:v>
                </c:pt>
                <c:pt idx="7">
                  <c:v>INVENTARIOS</c:v>
                </c:pt>
              </c:strCache>
            </c:strRef>
          </c:cat>
          <c:val>
            <c:numRef>
              <c:f>PARETO!$C$5:$C$12</c:f>
              <c:numCache>
                <c:formatCode>General</c:formatCode>
                <c:ptCount val="8"/>
                <c:pt idx="0">
                  <c:v>16</c:v>
                </c:pt>
                <c:pt idx="1">
                  <c:v>12</c:v>
                </c:pt>
                <c:pt idx="2">
                  <c:v>11</c:v>
                </c:pt>
                <c:pt idx="3">
                  <c:v>9</c:v>
                </c:pt>
                <c:pt idx="4">
                  <c:v>7</c:v>
                </c:pt>
                <c:pt idx="5">
                  <c:v>6</c:v>
                </c:pt>
                <c:pt idx="6">
                  <c:v>6</c:v>
                </c:pt>
                <c:pt idx="7">
                  <c:v>5</c:v>
                </c:pt>
              </c:numCache>
            </c:numRef>
          </c:val>
          <c:extLst>
            <c:ext xmlns:c16="http://schemas.microsoft.com/office/drawing/2014/chart" uri="{C3380CC4-5D6E-409C-BE32-E72D297353CC}">
              <c16:uniqueId val="{00000000-3D72-4287-A434-B8EA114507EE}"/>
            </c:ext>
          </c:extLst>
        </c:ser>
        <c:dLbls>
          <c:showLegendKey val="0"/>
          <c:showVal val="0"/>
          <c:showCatName val="0"/>
          <c:showSerName val="0"/>
          <c:showPercent val="0"/>
          <c:showBubbleSize val="0"/>
        </c:dLbls>
        <c:gapWidth val="219"/>
        <c:overlap val="-27"/>
        <c:axId val="2021524224"/>
        <c:axId val="2021520896"/>
      </c:barChart>
      <c:lineChart>
        <c:grouping val="standard"/>
        <c:varyColors val="0"/>
        <c:ser>
          <c:idx val="1"/>
          <c:order val="1"/>
          <c:tx>
            <c:strRef>
              <c:f>PARETO!$D$4</c:f>
              <c:strCache>
                <c:ptCount val="1"/>
                <c:pt idx="0">
                  <c:v>Acumulado</c:v>
                </c:pt>
              </c:strCache>
            </c:strRef>
          </c:tx>
          <c:spPr>
            <a:ln w="25400" cap="rnd">
              <a:solidFill>
                <a:schemeClr val="accent2"/>
              </a:solidFill>
              <a:round/>
            </a:ln>
            <a:effectLst/>
          </c:spPr>
          <c:marker>
            <c:symbol val="circle"/>
            <c:size val="5"/>
            <c:spPr>
              <a:solidFill>
                <a:schemeClr val="tx2"/>
              </a:solidFill>
              <a:ln w="50800">
                <a:solidFill>
                  <a:schemeClr val="accent2"/>
                </a:solidFill>
              </a:ln>
              <a:effectLst/>
            </c:spPr>
          </c:marker>
          <c:dLbls>
            <c:dLbl>
              <c:idx val="0"/>
              <c:layout>
                <c:manualLayout>
                  <c:x val="-5.9259269894209099E-2"/>
                  <c:y val="-0.134005000253814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29-429D-ABCB-2CF99393D51A}"/>
                </c:ext>
              </c:extLst>
            </c:dLbl>
            <c:dLbl>
              <c:idx val="1"/>
              <c:layout>
                <c:manualLayout>
                  <c:x val="-9.5726512906030126E-2"/>
                  <c:y val="-4.7469453769281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29-429D-ABCB-2CF99393D51A}"/>
                </c:ext>
              </c:extLst>
            </c:dLbl>
            <c:dLbl>
              <c:idx val="2"/>
              <c:layout>
                <c:manualLayout>
                  <c:x val="-0.10940172903546296"/>
                  <c:y val="-2.5130887289619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29-429D-ABCB-2CF99393D51A}"/>
                </c:ext>
              </c:extLst>
            </c:dLbl>
            <c:dLbl>
              <c:idx val="3"/>
              <c:layout>
                <c:manualLayout>
                  <c:x val="-0.10028491828250775"/>
                  <c:y val="-4.1884812149365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29-429D-ABCB-2CF99393D51A}"/>
                </c:ext>
              </c:extLst>
            </c:dLbl>
            <c:dLbl>
              <c:idx val="4"/>
              <c:layout>
                <c:manualLayout>
                  <c:x val="-0.10256412097074652"/>
                  <c:y val="-3.6300170529450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29-429D-ABCB-2CF99393D51A}"/>
                </c:ext>
              </c:extLst>
            </c:dLbl>
            <c:dLbl>
              <c:idx val="5"/>
              <c:layout>
                <c:manualLayout>
                  <c:x val="-0.11623933710017947"/>
                  <c:y val="-2.5130887289619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29-429D-ABCB-2CF99393D51A}"/>
                </c:ext>
              </c:extLst>
            </c:dLbl>
            <c:dLbl>
              <c:idx val="6"/>
              <c:layout>
                <c:manualLayout>
                  <c:x val="-0.13675216129432879"/>
                  <c:y val="-5.58464161991544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29-429D-ABCB-2CF99393D51A}"/>
                </c:ext>
              </c:extLst>
            </c:dLbl>
            <c:dLbl>
              <c:idx val="7"/>
              <c:layout>
                <c:manualLayout>
                  <c:x val="-0.16638179624143334"/>
                  <c:y val="-1.3961604049788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29-429D-ABCB-2CF99393D5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PARETO!$B$5:$B$12</c:f>
              <c:strCache>
                <c:ptCount val="8"/>
                <c:pt idx="0">
                  <c:v>MAQUINAS</c:v>
                </c:pt>
                <c:pt idx="1">
                  <c:v>ESPERAS</c:v>
                </c:pt>
                <c:pt idx="2">
                  <c:v>MOVIMIENTOS INNECESARIOS</c:v>
                </c:pt>
                <c:pt idx="3">
                  <c:v>REPROCESAMIENTO</c:v>
                </c:pt>
                <c:pt idx="4">
                  <c:v>TALENTO HUMANO</c:v>
                </c:pt>
                <c:pt idx="5">
                  <c:v>MATERIALES</c:v>
                </c:pt>
                <c:pt idx="6">
                  <c:v>AMBIENTE DE TRABAJO</c:v>
                </c:pt>
                <c:pt idx="7">
                  <c:v>INVENTARIOS</c:v>
                </c:pt>
              </c:strCache>
            </c:strRef>
          </c:cat>
          <c:val>
            <c:numRef>
              <c:f>PARETO!$D$5:$D$12</c:f>
              <c:numCache>
                <c:formatCode>0.00%</c:formatCode>
                <c:ptCount val="8"/>
                <c:pt idx="0">
                  <c:v>0.22222222222222221</c:v>
                </c:pt>
                <c:pt idx="1">
                  <c:v>0.3888888888888889</c:v>
                </c:pt>
                <c:pt idx="2">
                  <c:v>0.54166666666666663</c:v>
                </c:pt>
                <c:pt idx="3">
                  <c:v>0.66666666666666663</c:v>
                </c:pt>
                <c:pt idx="4">
                  <c:v>0.76388888888888884</c:v>
                </c:pt>
                <c:pt idx="5">
                  <c:v>0.84722222222222221</c:v>
                </c:pt>
                <c:pt idx="6">
                  <c:v>0.93055555555555558</c:v>
                </c:pt>
                <c:pt idx="7">
                  <c:v>1</c:v>
                </c:pt>
              </c:numCache>
            </c:numRef>
          </c:val>
          <c:smooth val="0"/>
          <c:extLst>
            <c:ext xmlns:c16="http://schemas.microsoft.com/office/drawing/2014/chart" uri="{C3380CC4-5D6E-409C-BE32-E72D297353CC}">
              <c16:uniqueId val="{00000001-3D72-4287-A434-B8EA114507EE}"/>
            </c:ext>
          </c:extLst>
        </c:ser>
        <c:dLbls>
          <c:showLegendKey val="0"/>
          <c:showVal val="0"/>
          <c:showCatName val="0"/>
          <c:showSerName val="0"/>
          <c:showPercent val="0"/>
          <c:showBubbleSize val="0"/>
        </c:dLbls>
        <c:marker val="1"/>
        <c:smooth val="0"/>
        <c:axId val="2021521312"/>
        <c:axId val="2021523808"/>
      </c:lineChart>
      <c:catAx>
        <c:axId val="202152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1520896"/>
        <c:crosses val="autoZero"/>
        <c:auto val="1"/>
        <c:lblAlgn val="ctr"/>
        <c:lblOffset val="100"/>
        <c:noMultiLvlLbl val="0"/>
      </c:catAx>
      <c:valAx>
        <c:axId val="2021520896"/>
        <c:scaling>
          <c:orientation val="minMax"/>
          <c:max val="7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1524224"/>
        <c:crosses val="autoZero"/>
        <c:crossBetween val="between"/>
      </c:valAx>
      <c:valAx>
        <c:axId val="2021523808"/>
        <c:scaling>
          <c:orientation val="minMax"/>
          <c:max val="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1521312"/>
        <c:crosses val="max"/>
        <c:crossBetween val="between"/>
      </c:valAx>
      <c:catAx>
        <c:axId val="2021521312"/>
        <c:scaling>
          <c:orientation val="minMax"/>
        </c:scaling>
        <c:delete val="1"/>
        <c:axPos val="b"/>
        <c:numFmt formatCode="General" sourceLinked="1"/>
        <c:majorTickMark val="none"/>
        <c:minorTickMark val="none"/>
        <c:tickLblPos val="nextTo"/>
        <c:crossAx val="20215238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152401</xdr:colOff>
      <xdr:row>0</xdr:row>
      <xdr:rowOff>128587</xdr:rowOff>
    </xdr:from>
    <xdr:to>
      <xdr:col>10</xdr:col>
      <xdr:colOff>247650</xdr:colOff>
      <xdr:row>24</xdr:row>
      <xdr:rowOff>95250</xdr:rowOff>
    </xdr:to>
    <xdr:graphicFrame macro="">
      <xdr:nvGraphicFramePr>
        <xdr:cNvPr id="3" name="Gráfico 2">
          <a:extLst>
            <a:ext uri="{FF2B5EF4-FFF2-40B4-BE49-F238E27FC236}">
              <a16:creationId xmlns:a16="http://schemas.microsoft.com/office/drawing/2014/main" id="{23FF802C-C867-0750-427B-FD68F530CF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4:E13"/>
  <sheetViews>
    <sheetView showGridLines="0" topLeftCell="D1" zoomScale="80" zoomScaleNormal="80" workbookViewId="0">
      <selection activeCell="I26" sqref="I26"/>
    </sheetView>
  </sheetViews>
  <sheetFormatPr baseColWidth="10" defaultRowHeight="15" x14ac:dyDescent="0.25"/>
  <cols>
    <col min="1" max="1" width="5.5703125" customWidth="1"/>
    <col min="2" max="2" width="28" bestFit="1" customWidth="1"/>
    <col min="3" max="3" width="24.140625" bestFit="1" customWidth="1"/>
    <col min="5" max="5" width="12.5703125" bestFit="1" customWidth="1"/>
    <col min="6" max="6" width="22.42578125" bestFit="1" customWidth="1"/>
    <col min="7" max="7" width="19.28515625" customWidth="1"/>
    <col min="10" max="10" width="17.5703125" bestFit="1" customWidth="1"/>
    <col min="11" max="11" width="18.42578125" bestFit="1" customWidth="1"/>
    <col min="14" max="14" width="17.5703125" bestFit="1" customWidth="1"/>
    <col min="15" max="15" width="18.42578125" bestFit="1" customWidth="1"/>
  </cols>
  <sheetData>
    <row r="4" spans="2:5" x14ac:dyDescent="0.25">
      <c r="B4" s="24" t="s">
        <v>89</v>
      </c>
      <c r="C4" s="24" t="s">
        <v>90</v>
      </c>
      <c r="D4" s="24" t="s">
        <v>91</v>
      </c>
      <c r="E4" s="24" t="s">
        <v>92</v>
      </c>
    </row>
    <row r="5" spans="2:5" x14ac:dyDescent="0.25">
      <c r="B5" t="s">
        <v>2</v>
      </c>
      <c r="C5" s="23">
        <v>16</v>
      </c>
      <c r="D5" s="115">
        <f>+E5/$C$13</f>
        <v>0.22222222222222221</v>
      </c>
      <c r="E5" s="114">
        <f>+C5</f>
        <v>16</v>
      </c>
    </row>
    <row r="6" spans="2:5" x14ac:dyDescent="0.25">
      <c r="B6" t="s">
        <v>1</v>
      </c>
      <c r="C6" s="23">
        <v>12</v>
      </c>
      <c r="D6" s="115">
        <f t="shared" ref="D6:D12" si="0">+E6/$C$13</f>
        <v>0.3888888888888889</v>
      </c>
      <c r="E6" s="114">
        <f>+C6+E5</f>
        <v>28</v>
      </c>
    </row>
    <row r="7" spans="2:5" x14ac:dyDescent="0.25">
      <c r="B7" t="s">
        <v>4</v>
      </c>
      <c r="C7" s="23">
        <v>11</v>
      </c>
      <c r="D7" s="115">
        <f t="shared" si="0"/>
        <v>0.54166666666666663</v>
      </c>
      <c r="E7" s="114">
        <f t="shared" ref="E7:E12" si="1">+C7+E6</f>
        <v>39</v>
      </c>
    </row>
    <row r="8" spans="2:5" x14ac:dyDescent="0.25">
      <c r="B8" t="s">
        <v>25</v>
      </c>
      <c r="C8" s="23">
        <v>9</v>
      </c>
      <c r="D8" s="115">
        <f t="shared" si="0"/>
        <v>0.66666666666666663</v>
      </c>
      <c r="E8" s="114">
        <f t="shared" si="1"/>
        <v>48</v>
      </c>
    </row>
    <row r="9" spans="2:5" x14ac:dyDescent="0.25">
      <c r="B9" t="s">
        <v>24</v>
      </c>
      <c r="C9" s="23">
        <v>7</v>
      </c>
      <c r="D9" s="115">
        <f t="shared" si="0"/>
        <v>0.76388888888888884</v>
      </c>
      <c r="E9" s="114">
        <f t="shared" si="1"/>
        <v>55</v>
      </c>
    </row>
    <row r="10" spans="2:5" x14ac:dyDescent="0.25">
      <c r="B10" t="s">
        <v>3</v>
      </c>
      <c r="C10" s="23">
        <v>6</v>
      </c>
      <c r="D10" s="115">
        <f t="shared" si="0"/>
        <v>0.84722222222222221</v>
      </c>
      <c r="E10" s="114">
        <f t="shared" si="1"/>
        <v>61</v>
      </c>
    </row>
    <row r="11" spans="2:5" x14ac:dyDescent="0.25">
      <c r="B11" t="s">
        <v>26</v>
      </c>
      <c r="C11" s="23">
        <v>6</v>
      </c>
      <c r="D11" s="115">
        <f t="shared" si="0"/>
        <v>0.93055555555555558</v>
      </c>
      <c r="E11" s="114">
        <f t="shared" si="1"/>
        <v>67</v>
      </c>
    </row>
    <row r="12" spans="2:5" x14ac:dyDescent="0.25">
      <c r="B12" t="s">
        <v>0</v>
      </c>
      <c r="C12" s="23">
        <v>5</v>
      </c>
      <c r="D12" s="115">
        <f t="shared" si="0"/>
        <v>1</v>
      </c>
      <c r="E12" s="114">
        <f t="shared" si="1"/>
        <v>72</v>
      </c>
    </row>
    <row r="13" spans="2:5" ht="15.75" x14ac:dyDescent="0.25">
      <c r="C13" s="25">
        <f>SUM(C5:C12)</f>
        <v>72</v>
      </c>
      <c r="D13" s="2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17BC1-1FA6-4441-BC8D-4E6B65EBBF89}">
  <dimension ref="B2:K6"/>
  <sheetViews>
    <sheetView showGridLines="0" zoomScale="80" zoomScaleNormal="80" workbookViewId="0">
      <selection activeCell="B2" sqref="B2:K6"/>
    </sheetView>
  </sheetViews>
  <sheetFormatPr baseColWidth="10" defaultRowHeight="15" x14ac:dyDescent="0.25"/>
  <cols>
    <col min="1" max="1" width="4.42578125" customWidth="1"/>
    <col min="3" max="3" width="8.28515625" customWidth="1"/>
    <col min="4" max="4" width="9.5703125" customWidth="1"/>
    <col min="5" max="5" width="10.5703125" customWidth="1"/>
    <col min="6" max="6" width="9.140625" customWidth="1"/>
    <col min="7" max="7" width="8.7109375" bestFit="1" customWidth="1"/>
    <col min="8" max="8" width="13.42578125" bestFit="1" customWidth="1"/>
    <col min="9" max="9" width="7.28515625" customWidth="1"/>
    <col min="10" max="10" width="7.140625" customWidth="1"/>
    <col min="11" max="11" width="6.5703125" customWidth="1"/>
  </cols>
  <sheetData>
    <row r="2" spans="2:11" ht="21.75" customHeight="1" x14ac:dyDescent="0.25">
      <c r="B2" s="129" t="s">
        <v>113</v>
      </c>
      <c r="C2" s="129"/>
      <c r="D2" s="129"/>
      <c r="E2" s="129"/>
      <c r="F2" s="129"/>
      <c r="G2" s="129"/>
      <c r="H2" s="129"/>
      <c r="I2" s="129"/>
      <c r="J2" s="129"/>
      <c r="K2" s="129"/>
    </row>
    <row r="3" spans="2:11" ht="63.75" customHeight="1" x14ac:dyDescent="0.25">
      <c r="B3" s="125" t="s">
        <v>111</v>
      </c>
      <c r="C3" s="125"/>
      <c r="D3" s="116">
        <v>11</v>
      </c>
      <c r="E3" s="116">
        <v>7</v>
      </c>
      <c r="F3" s="116">
        <v>5</v>
      </c>
      <c r="G3" s="116">
        <v>8</v>
      </c>
      <c r="H3" s="116">
        <v>1</v>
      </c>
      <c r="I3" s="116">
        <v>1</v>
      </c>
      <c r="J3" s="116">
        <v>7</v>
      </c>
      <c r="K3" s="116">
        <v>2</v>
      </c>
    </row>
    <row r="4" spans="2:11" ht="65.25" customHeight="1" x14ac:dyDescent="0.25">
      <c r="B4" s="126" t="s">
        <v>112</v>
      </c>
      <c r="C4" s="126"/>
      <c r="D4" s="117">
        <v>0.37609410610575728</v>
      </c>
      <c r="E4" s="117">
        <v>0.14963068969166191</v>
      </c>
      <c r="F4" s="117">
        <v>9.9999999999999992E-2</v>
      </c>
      <c r="G4" s="117">
        <v>0.27668245561876742</v>
      </c>
      <c r="H4" s="117">
        <v>4.4999999999999998E-2</v>
      </c>
      <c r="I4" s="117">
        <v>1.4999999999999999E-2</v>
      </c>
      <c r="J4" s="117">
        <v>0.3927156411526318</v>
      </c>
      <c r="K4" s="117">
        <v>4.8888888888888885E-2</v>
      </c>
    </row>
    <row r="5" spans="2:11" ht="60" customHeight="1" x14ac:dyDescent="0.25">
      <c r="B5" s="128" t="s">
        <v>110</v>
      </c>
      <c r="C5" s="128"/>
      <c r="D5" s="118" t="s">
        <v>93</v>
      </c>
      <c r="E5" s="118" t="s">
        <v>94</v>
      </c>
      <c r="F5" s="118" t="s">
        <v>77</v>
      </c>
      <c r="G5" s="118" t="s">
        <v>81</v>
      </c>
      <c r="H5" s="118" t="s">
        <v>71</v>
      </c>
      <c r="I5" s="118" t="s">
        <v>75</v>
      </c>
      <c r="J5" s="118" t="s">
        <v>73</v>
      </c>
      <c r="K5" s="118" t="s">
        <v>69</v>
      </c>
    </row>
    <row r="6" spans="2:11" ht="36" customHeight="1" x14ac:dyDescent="0.25">
      <c r="B6" s="127" t="s">
        <v>109</v>
      </c>
      <c r="C6" s="127"/>
      <c r="D6" s="119">
        <v>1</v>
      </c>
      <c r="E6" s="119">
        <v>4</v>
      </c>
      <c r="F6" s="120">
        <v>5</v>
      </c>
      <c r="G6" s="119">
        <v>3</v>
      </c>
      <c r="H6" s="121">
        <v>7</v>
      </c>
      <c r="I6" s="121">
        <v>8</v>
      </c>
      <c r="J6" s="119">
        <v>2</v>
      </c>
      <c r="K6" s="120">
        <v>6</v>
      </c>
    </row>
  </sheetData>
  <mergeCells count="5">
    <mergeCell ref="B3:C3"/>
    <mergeCell ref="B4:C4"/>
    <mergeCell ref="B6:C6"/>
    <mergeCell ref="B5:C5"/>
    <mergeCell ref="B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Q43"/>
  <sheetViews>
    <sheetView showGridLines="0" tabSelected="1" zoomScale="80" zoomScaleNormal="80" workbookViewId="0">
      <pane ySplit="6" topLeftCell="A7" activePane="bottomLeft" state="frozen"/>
      <selection pane="bottomLeft" activeCell="B5" sqref="B5:D5"/>
    </sheetView>
  </sheetViews>
  <sheetFormatPr baseColWidth="10" defaultRowHeight="12.75" x14ac:dyDescent="0.2"/>
  <cols>
    <col min="1" max="1" width="3.7109375" style="27" customWidth="1"/>
    <col min="2" max="2" width="10.5703125" style="27" customWidth="1"/>
    <col min="3" max="4" width="21.28515625" style="27" customWidth="1"/>
    <col min="5" max="12" width="25.7109375" style="27" customWidth="1"/>
    <col min="13" max="13" width="17" style="27" customWidth="1"/>
    <col min="14" max="14" width="16.5703125" style="27" customWidth="1"/>
    <col min="15" max="15" width="13.28515625" style="27" customWidth="1"/>
    <col min="16" max="16" width="28.140625" style="27" customWidth="1"/>
    <col min="17" max="17" width="22.42578125" style="27" bestFit="1" customWidth="1"/>
    <col min="18" max="22" width="11.42578125" style="27"/>
    <col min="23" max="23" width="12" style="27" customWidth="1"/>
    <col min="24" max="16384" width="11.42578125" style="27"/>
  </cols>
  <sheetData>
    <row r="1" spans="1:17" ht="13.5" thickBot="1" x14ac:dyDescent="0.25"/>
    <row r="2" spans="1:17" ht="16.5" thickBot="1" x14ac:dyDescent="0.25">
      <c r="B2" s="165" t="s">
        <v>104</v>
      </c>
      <c r="C2" s="166"/>
      <c r="D2" s="166"/>
      <c r="E2" s="166"/>
      <c r="F2" s="166"/>
      <c r="G2" s="166"/>
      <c r="H2" s="166"/>
      <c r="I2" s="166"/>
      <c r="J2" s="166"/>
      <c r="K2" s="166"/>
      <c r="L2" s="166"/>
      <c r="M2" s="166"/>
      <c r="N2" s="166"/>
      <c r="O2" s="167"/>
    </row>
    <row r="4" spans="1:17" ht="29.25" customHeight="1" x14ac:dyDescent="0.2">
      <c r="A4" s="174"/>
      <c r="B4" s="175"/>
      <c r="C4" s="175"/>
      <c r="D4" s="176"/>
      <c r="E4" s="177" t="s">
        <v>67</v>
      </c>
      <c r="F4" s="177"/>
      <c r="G4" s="177"/>
      <c r="H4" s="177"/>
      <c r="I4" s="177"/>
      <c r="J4" s="177"/>
      <c r="K4" s="177"/>
      <c r="L4" s="177"/>
      <c r="M4" s="30"/>
      <c r="N4" s="30"/>
      <c r="O4" s="30"/>
    </row>
    <row r="5" spans="1:17" ht="156" customHeight="1" thickBot="1" x14ac:dyDescent="0.25">
      <c r="A5" s="30"/>
      <c r="B5" s="178"/>
      <c r="C5" s="178"/>
      <c r="D5" s="179"/>
      <c r="E5" s="37" t="s">
        <v>96</v>
      </c>
      <c r="F5" s="37" t="s">
        <v>78</v>
      </c>
      <c r="G5" s="37" t="s">
        <v>79</v>
      </c>
      <c r="H5" s="37" t="s">
        <v>82</v>
      </c>
      <c r="I5" s="37" t="s">
        <v>101</v>
      </c>
      <c r="J5" s="37" t="s">
        <v>76</v>
      </c>
      <c r="K5" s="37" t="s">
        <v>74</v>
      </c>
      <c r="L5" s="37" t="s">
        <v>72</v>
      </c>
      <c r="M5" s="30"/>
      <c r="N5" s="30"/>
      <c r="O5" s="30"/>
    </row>
    <row r="6" spans="1:17" ht="46.5" customHeight="1" thickBot="1" x14ac:dyDescent="0.25">
      <c r="A6" s="30"/>
      <c r="B6" s="43" t="s">
        <v>64</v>
      </c>
      <c r="C6" s="44" t="s">
        <v>66</v>
      </c>
      <c r="D6" s="44" t="s">
        <v>80</v>
      </c>
      <c r="E6" s="44" t="s">
        <v>93</v>
      </c>
      <c r="F6" s="44" t="s">
        <v>94</v>
      </c>
      <c r="G6" s="44" t="s">
        <v>77</v>
      </c>
      <c r="H6" s="44" t="s">
        <v>81</v>
      </c>
      <c r="I6" s="44" t="s">
        <v>71</v>
      </c>
      <c r="J6" s="44" t="s">
        <v>75</v>
      </c>
      <c r="K6" s="44" t="s">
        <v>73</v>
      </c>
      <c r="L6" s="45" t="s">
        <v>69</v>
      </c>
      <c r="M6" s="45" t="s">
        <v>100</v>
      </c>
      <c r="N6" s="45" t="s">
        <v>102</v>
      </c>
      <c r="O6" s="45" t="s">
        <v>103</v>
      </c>
    </row>
    <row r="7" spans="1:17" s="28" customFormat="1" ht="55.5" customHeight="1" x14ac:dyDescent="0.2">
      <c r="A7" s="31"/>
      <c r="B7" s="151" t="s">
        <v>4</v>
      </c>
      <c r="C7" s="46" t="s">
        <v>8</v>
      </c>
      <c r="D7" s="46" t="s">
        <v>38</v>
      </c>
      <c r="E7" s="47"/>
      <c r="F7" s="47" t="s">
        <v>70</v>
      </c>
      <c r="G7" s="47"/>
      <c r="H7" s="47" t="s">
        <v>70</v>
      </c>
      <c r="I7" s="47"/>
      <c r="J7" s="47"/>
      <c r="K7" s="47"/>
      <c r="L7" s="48"/>
      <c r="M7" s="49">
        <f t="shared" ref="M7:M39" si="0">+COUNTIF(E7:L7,"X")</f>
        <v>2</v>
      </c>
      <c r="N7" s="50">
        <v>3.2727272727272723E-2</v>
      </c>
      <c r="O7" s="154">
        <f>SUM(N7:N10)</f>
        <v>0.12</v>
      </c>
      <c r="P7" s="27"/>
      <c r="Q7" s="29"/>
    </row>
    <row r="8" spans="1:17" s="28" customFormat="1" ht="55.5" customHeight="1" x14ac:dyDescent="0.25">
      <c r="A8"/>
      <c r="B8" s="152"/>
      <c r="C8" s="51" t="s">
        <v>11</v>
      </c>
      <c r="D8" s="51" t="s">
        <v>37</v>
      </c>
      <c r="E8" s="52"/>
      <c r="F8" s="52" t="s">
        <v>70</v>
      </c>
      <c r="G8" s="52"/>
      <c r="H8" s="52" t="s">
        <v>70</v>
      </c>
      <c r="I8" s="52"/>
      <c r="J8" s="52"/>
      <c r="K8" s="52" t="s">
        <v>70</v>
      </c>
      <c r="L8" s="53"/>
      <c r="M8" s="54">
        <f t="shared" si="0"/>
        <v>3</v>
      </c>
      <c r="N8" s="55">
        <v>3.2727272727272723E-2</v>
      </c>
      <c r="O8" s="155"/>
      <c r="P8" s="27"/>
      <c r="Q8" s="27"/>
    </row>
    <row r="9" spans="1:17" s="28" customFormat="1" ht="55.5" customHeight="1" x14ac:dyDescent="0.25">
      <c r="A9"/>
      <c r="B9" s="152"/>
      <c r="C9" s="51" t="s">
        <v>21</v>
      </c>
      <c r="D9" s="51" t="s">
        <v>36</v>
      </c>
      <c r="E9" s="52"/>
      <c r="F9" s="52"/>
      <c r="G9" s="52"/>
      <c r="H9" s="52" t="s">
        <v>70</v>
      </c>
      <c r="I9" s="52"/>
      <c r="J9" s="52"/>
      <c r="K9" s="52"/>
      <c r="L9" s="53"/>
      <c r="M9" s="54">
        <f t="shared" si="0"/>
        <v>1</v>
      </c>
      <c r="N9" s="55">
        <v>3.2727272727272723E-2</v>
      </c>
      <c r="O9" s="155"/>
      <c r="P9" s="27"/>
      <c r="Q9" s="27"/>
    </row>
    <row r="10" spans="1:17" s="28" customFormat="1" ht="55.5" customHeight="1" thickBot="1" x14ac:dyDescent="0.25">
      <c r="A10" s="31"/>
      <c r="B10" s="153"/>
      <c r="C10" s="56" t="s">
        <v>29</v>
      </c>
      <c r="D10" s="56" t="s">
        <v>39</v>
      </c>
      <c r="E10" s="57"/>
      <c r="F10" s="57" t="s">
        <v>70</v>
      </c>
      <c r="G10" s="57"/>
      <c r="H10" s="57"/>
      <c r="I10" s="57"/>
      <c r="J10" s="57"/>
      <c r="K10" s="57"/>
      <c r="L10" s="58"/>
      <c r="M10" s="59">
        <f t="shared" si="0"/>
        <v>1</v>
      </c>
      <c r="N10" s="60">
        <v>2.1818181818181816E-2</v>
      </c>
      <c r="O10" s="156"/>
      <c r="P10" s="27"/>
      <c r="Q10" s="29"/>
    </row>
    <row r="11" spans="1:17" s="28" customFormat="1" ht="55.5" customHeight="1" x14ac:dyDescent="0.2">
      <c r="A11" s="31"/>
      <c r="B11" s="168" t="s">
        <v>1</v>
      </c>
      <c r="C11" s="76" t="s">
        <v>5</v>
      </c>
      <c r="D11" s="76" t="s">
        <v>40</v>
      </c>
      <c r="E11" s="77"/>
      <c r="F11" s="77" t="s">
        <v>70</v>
      </c>
      <c r="G11" s="77"/>
      <c r="H11" s="77" t="s">
        <v>70</v>
      </c>
      <c r="I11" s="77"/>
      <c r="J11" s="77"/>
      <c r="K11" s="77"/>
      <c r="L11" s="78"/>
      <c r="M11" s="79">
        <f t="shared" si="0"/>
        <v>2</v>
      </c>
      <c r="N11" s="88">
        <v>2.7714649963970953E-2</v>
      </c>
      <c r="O11" s="171">
        <f>SUM(N11:N17)</f>
        <v>8.3143949891912844E-2</v>
      </c>
      <c r="P11" s="27"/>
    </row>
    <row r="12" spans="1:17" s="28" customFormat="1" ht="55.5" customHeight="1" x14ac:dyDescent="0.2">
      <c r="A12" s="31"/>
      <c r="B12" s="169"/>
      <c r="C12" s="80" t="s">
        <v>6</v>
      </c>
      <c r="D12" s="80" t="s">
        <v>57</v>
      </c>
      <c r="E12" s="81"/>
      <c r="F12" s="81"/>
      <c r="G12" s="81"/>
      <c r="H12" s="81"/>
      <c r="I12" s="81"/>
      <c r="J12" s="81"/>
      <c r="K12" s="81"/>
      <c r="L12" s="82"/>
      <c r="M12" s="83">
        <f t="shared" si="0"/>
        <v>0</v>
      </c>
      <c r="N12" s="89">
        <v>6.9286624909927381E-3</v>
      </c>
      <c r="O12" s="172"/>
      <c r="P12" s="27"/>
    </row>
    <row r="13" spans="1:17" s="28" customFormat="1" ht="55.5" customHeight="1" x14ac:dyDescent="0.2">
      <c r="A13" s="31"/>
      <c r="B13" s="169"/>
      <c r="C13" s="80" t="s">
        <v>9</v>
      </c>
      <c r="D13" s="80" t="s">
        <v>41</v>
      </c>
      <c r="E13" s="81"/>
      <c r="F13" s="81" t="s">
        <v>70</v>
      </c>
      <c r="G13" s="81"/>
      <c r="H13" s="81"/>
      <c r="I13" s="81"/>
      <c r="J13" s="81"/>
      <c r="K13" s="81"/>
      <c r="L13" s="82"/>
      <c r="M13" s="83">
        <f t="shared" si="0"/>
        <v>1</v>
      </c>
      <c r="N13" s="89">
        <v>6.9286624909927381E-3</v>
      </c>
      <c r="O13" s="172"/>
      <c r="P13" s="27"/>
    </row>
    <row r="14" spans="1:17" s="28" customFormat="1" ht="55.5" customHeight="1" x14ac:dyDescent="0.2">
      <c r="A14" s="31"/>
      <c r="B14" s="169"/>
      <c r="C14" s="80" t="s">
        <v>52</v>
      </c>
      <c r="D14" s="80" t="s">
        <v>53</v>
      </c>
      <c r="E14" s="81"/>
      <c r="F14" s="81"/>
      <c r="G14" s="81"/>
      <c r="H14" s="81"/>
      <c r="I14" s="81"/>
      <c r="J14" s="81"/>
      <c r="K14" s="81"/>
      <c r="L14" s="82"/>
      <c r="M14" s="83">
        <f t="shared" si="0"/>
        <v>0</v>
      </c>
      <c r="N14" s="89">
        <v>6.9286624909927381E-3</v>
      </c>
      <c r="O14" s="172"/>
      <c r="P14" s="27"/>
    </row>
    <row r="15" spans="1:17" s="28" customFormat="1" ht="55.5" customHeight="1" x14ac:dyDescent="0.2">
      <c r="A15" s="31"/>
      <c r="B15" s="169"/>
      <c r="C15" s="80" t="s">
        <v>99</v>
      </c>
      <c r="D15" s="80" t="s">
        <v>58</v>
      </c>
      <c r="E15" s="81" t="s">
        <v>70</v>
      </c>
      <c r="F15" s="81" t="s">
        <v>70</v>
      </c>
      <c r="G15" s="81"/>
      <c r="H15" s="81" t="s">
        <v>70</v>
      </c>
      <c r="I15" s="81"/>
      <c r="J15" s="81"/>
      <c r="K15" s="81" t="s">
        <v>70</v>
      </c>
      <c r="L15" s="82"/>
      <c r="M15" s="83">
        <f t="shared" si="0"/>
        <v>4</v>
      </c>
      <c r="N15" s="89">
        <v>2.0785987472978214E-2</v>
      </c>
      <c r="O15" s="172"/>
      <c r="P15" s="27"/>
    </row>
    <row r="16" spans="1:17" s="28" customFormat="1" ht="55.5" customHeight="1" x14ac:dyDescent="0.25">
      <c r="A16" s="31"/>
      <c r="B16" s="169"/>
      <c r="C16" s="80" t="s">
        <v>13</v>
      </c>
      <c r="D16" s="80" t="s">
        <v>54</v>
      </c>
      <c r="E16" s="81" t="s">
        <v>70</v>
      </c>
      <c r="F16" s="81" t="s">
        <v>70</v>
      </c>
      <c r="G16" s="81"/>
      <c r="H16" s="81"/>
      <c r="I16" s="81"/>
      <c r="J16" s="81"/>
      <c r="K16" s="81"/>
      <c r="L16" s="82"/>
      <c r="M16" s="83">
        <f t="shared" si="0"/>
        <v>2</v>
      </c>
      <c r="N16" s="89">
        <v>6.9286624909927381E-3</v>
      </c>
      <c r="O16" s="172"/>
      <c r="P16"/>
    </row>
    <row r="17" spans="1:17" s="28" customFormat="1" ht="55.5" customHeight="1" thickBot="1" x14ac:dyDescent="0.3">
      <c r="A17" s="31"/>
      <c r="B17" s="170"/>
      <c r="C17" s="84" t="s">
        <v>16</v>
      </c>
      <c r="D17" s="84" t="s">
        <v>55</v>
      </c>
      <c r="E17" s="85" t="s">
        <v>70</v>
      </c>
      <c r="F17" s="85"/>
      <c r="G17" s="85"/>
      <c r="H17" s="85"/>
      <c r="I17" s="85"/>
      <c r="J17" s="85"/>
      <c r="K17" s="85"/>
      <c r="L17" s="86"/>
      <c r="M17" s="87">
        <f t="shared" si="0"/>
        <v>1</v>
      </c>
      <c r="N17" s="90">
        <v>6.9286624909927381E-3</v>
      </c>
      <c r="O17" s="173"/>
      <c r="P17"/>
    </row>
    <row r="18" spans="1:17" s="28" customFormat="1" ht="55.5" customHeight="1" x14ac:dyDescent="0.25">
      <c r="A18"/>
      <c r="B18" s="151" t="s">
        <v>0</v>
      </c>
      <c r="C18" s="46" t="s">
        <v>12</v>
      </c>
      <c r="D18" s="46" t="s">
        <v>59</v>
      </c>
      <c r="E18" s="47"/>
      <c r="F18" s="47"/>
      <c r="G18" s="47"/>
      <c r="H18" s="47" t="s">
        <v>70</v>
      </c>
      <c r="I18" s="47"/>
      <c r="J18" s="47"/>
      <c r="K18" s="47"/>
      <c r="L18" s="48"/>
      <c r="M18" s="49">
        <f t="shared" si="0"/>
        <v>1</v>
      </c>
      <c r="N18" s="50">
        <v>7.8E-2</v>
      </c>
      <c r="O18" s="154">
        <f>SUM(N18:N20)</f>
        <v>0.13</v>
      </c>
      <c r="P18"/>
      <c r="Q18" s="27"/>
    </row>
    <row r="19" spans="1:17" s="28" customFormat="1" ht="55.5" customHeight="1" x14ac:dyDescent="0.25">
      <c r="A19" s="31"/>
      <c r="B19" s="152"/>
      <c r="C19" s="51" t="s">
        <v>22</v>
      </c>
      <c r="D19" s="51" t="s">
        <v>42</v>
      </c>
      <c r="E19" s="52"/>
      <c r="F19" s="52"/>
      <c r="G19" s="52"/>
      <c r="H19" s="52" t="s">
        <v>70</v>
      </c>
      <c r="I19" s="52"/>
      <c r="J19" s="52"/>
      <c r="K19" s="52"/>
      <c r="L19" s="53"/>
      <c r="M19" s="54">
        <f t="shared" si="0"/>
        <v>1</v>
      </c>
      <c r="N19" s="55">
        <v>2.6000000000000002E-2</v>
      </c>
      <c r="O19" s="155"/>
      <c r="P19"/>
    </row>
    <row r="20" spans="1:17" s="28" customFormat="1" ht="55.5" customHeight="1" thickBot="1" x14ac:dyDescent="0.3">
      <c r="A20" s="31"/>
      <c r="B20" s="153"/>
      <c r="C20" s="56" t="s">
        <v>43</v>
      </c>
      <c r="D20" s="56" t="s">
        <v>44</v>
      </c>
      <c r="E20" s="57"/>
      <c r="F20" s="57"/>
      <c r="G20" s="57"/>
      <c r="H20" s="57" t="s">
        <v>70</v>
      </c>
      <c r="I20" s="57"/>
      <c r="J20" s="57"/>
      <c r="K20" s="57" t="s">
        <v>70</v>
      </c>
      <c r="L20" s="58"/>
      <c r="M20" s="59">
        <f t="shared" si="0"/>
        <v>2</v>
      </c>
      <c r="N20" s="60">
        <v>2.5999999999999999E-2</v>
      </c>
      <c r="O20" s="156"/>
      <c r="P20"/>
    </row>
    <row r="21" spans="1:17" s="28" customFormat="1" ht="55.5" customHeight="1" x14ac:dyDescent="0.25">
      <c r="A21" s="31"/>
      <c r="B21" s="157" t="s">
        <v>25</v>
      </c>
      <c r="C21" s="76" t="s">
        <v>7</v>
      </c>
      <c r="D21" s="76" t="s">
        <v>45</v>
      </c>
      <c r="E21" s="77" t="s">
        <v>70</v>
      </c>
      <c r="F21" s="77"/>
      <c r="G21" s="77"/>
      <c r="H21" s="77"/>
      <c r="I21" s="77"/>
      <c r="J21" s="77"/>
      <c r="K21" s="77"/>
      <c r="L21" s="78" t="s">
        <v>70</v>
      </c>
      <c r="M21" s="79">
        <f t="shared" si="0"/>
        <v>2</v>
      </c>
      <c r="N21" s="88">
        <v>2.4444444444444442E-2</v>
      </c>
      <c r="O21" s="160">
        <f>SUM(N21:N25)</f>
        <v>0.10999999999999999</v>
      </c>
      <c r="P21"/>
    </row>
    <row r="22" spans="1:17" s="28" customFormat="1" ht="55.5" customHeight="1" x14ac:dyDescent="0.2">
      <c r="A22" s="31"/>
      <c r="B22" s="158"/>
      <c r="C22" s="80" t="s">
        <v>20</v>
      </c>
      <c r="D22" s="80" t="s">
        <v>46</v>
      </c>
      <c r="E22" s="81" t="s">
        <v>70</v>
      </c>
      <c r="F22" s="81"/>
      <c r="G22" s="81"/>
      <c r="H22" s="81"/>
      <c r="I22" s="81"/>
      <c r="J22" s="81"/>
      <c r="K22" s="81"/>
      <c r="L22" s="82"/>
      <c r="M22" s="83">
        <f t="shared" si="0"/>
        <v>1</v>
      </c>
      <c r="N22" s="89">
        <v>2.4444444444444442E-2</v>
      </c>
      <c r="O22" s="161"/>
      <c r="P22" s="27"/>
    </row>
    <row r="23" spans="1:17" s="28" customFormat="1" ht="55.5" customHeight="1" x14ac:dyDescent="0.2">
      <c r="A23" s="31"/>
      <c r="B23" s="158"/>
      <c r="C23" s="91" t="s">
        <v>68</v>
      </c>
      <c r="D23" s="91"/>
      <c r="E23" s="81"/>
      <c r="F23" s="81"/>
      <c r="G23" s="81"/>
      <c r="H23" s="81"/>
      <c r="I23" s="81"/>
      <c r="J23" s="81"/>
      <c r="K23" s="81"/>
      <c r="L23" s="82" t="s">
        <v>70</v>
      </c>
      <c r="M23" s="83">
        <f t="shared" si="0"/>
        <v>1</v>
      </c>
      <c r="N23" s="89">
        <v>2.4444444444444442E-2</v>
      </c>
      <c r="O23" s="161"/>
      <c r="P23" s="27"/>
    </row>
    <row r="24" spans="1:17" s="28" customFormat="1" ht="55.5" customHeight="1" x14ac:dyDescent="0.2">
      <c r="A24" s="31"/>
      <c r="B24" s="158"/>
      <c r="C24" s="91" t="s">
        <v>83</v>
      </c>
      <c r="D24" s="91"/>
      <c r="E24" s="81" t="s">
        <v>70</v>
      </c>
      <c r="F24" s="81"/>
      <c r="G24" s="81"/>
      <c r="H24" s="81"/>
      <c r="I24" s="81"/>
      <c r="J24" s="81"/>
      <c r="K24" s="81"/>
      <c r="L24" s="82"/>
      <c r="M24" s="83">
        <f t="shared" si="0"/>
        <v>1</v>
      </c>
      <c r="N24" s="89">
        <v>2.4444444444444442E-2</v>
      </c>
      <c r="O24" s="161"/>
      <c r="P24" s="27"/>
    </row>
    <row r="25" spans="1:17" s="28" customFormat="1" ht="55.5" customHeight="1" thickBot="1" x14ac:dyDescent="0.25">
      <c r="A25" s="31"/>
      <c r="B25" s="159"/>
      <c r="C25" s="84" t="s">
        <v>23</v>
      </c>
      <c r="D25" s="84" t="s">
        <v>47</v>
      </c>
      <c r="E25" s="85" t="s">
        <v>70</v>
      </c>
      <c r="F25" s="85"/>
      <c r="G25" s="85"/>
      <c r="H25" s="85"/>
      <c r="I25" s="85"/>
      <c r="J25" s="85"/>
      <c r="K25" s="85"/>
      <c r="L25" s="86"/>
      <c r="M25" s="87">
        <f t="shared" si="0"/>
        <v>1</v>
      </c>
      <c r="N25" s="90">
        <v>1.2222222222222221E-2</v>
      </c>
      <c r="O25" s="162"/>
      <c r="P25" s="27"/>
    </row>
    <row r="26" spans="1:17" s="28" customFormat="1" ht="55.5" customHeight="1" x14ac:dyDescent="0.2">
      <c r="A26" s="31"/>
      <c r="B26" s="151" t="s">
        <v>24</v>
      </c>
      <c r="C26" s="46" t="s">
        <v>56</v>
      </c>
      <c r="D26" s="46" t="s">
        <v>35</v>
      </c>
      <c r="E26" s="47" t="s">
        <v>70</v>
      </c>
      <c r="F26" s="47"/>
      <c r="G26" s="47"/>
      <c r="H26" s="47"/>
      <c r="I26" s="47"/>
      <c r="J26" s="47"/>
      <c r="K26" s="47"/>
      <c r="L26" s="48"/>
      <c r="M26" s="49">
        <f t="shared" si="0"/>
        <v>1</v>
      </c>
      <c r="N26" s="50">
        <v>8.5714285714285701E-3</v>
      </c>
      <c r="O26" s="154">
        <f>SUM(N26:N29)</f>
        <v>5.9999999999999991E-2</v>
      </c>
      <c r="P26" s="27"/>
    </row>
    <row r="27" spans="1:17" s="28" customFormat="1" ht="55.5" customHeight="1" x14ac:dyDescent="0.25">
      <c r="A27" s="31"/>
      <c r="B27" s="152"/>
      <c r="C27" s="51" t="s">
        <v>30</v>
      </c>
      <c r="D27" s="51" t="s">
        <v>31</v>
      </c>
      <c r="E27" s="52"/>
      <c r="F27" s="52"/>
      <c r="G27" s="52"/>
      <c r="H27" s="52"/>
      <c r="I27" s="52"/>
      <c r="J27" s="52"/>
      <c r="K27" s="52"/>
      <c r="L27" s="53"/>
      <c r="M27" s="54">
        <f t="shared" si="0"/>
        <v>0</v>
      </c>
      <c r="N27" s="55">
        <v>8.5714285714285701E-3</v>
      </c>
      <c r="O27" s="155"/>
      <c r="P27"/>
    </row>
    <row r="28" spans="1:17" s="28" customFormat="1" ht="55.5" customHeight="1" x14ac:dyDescent="0.25">
      <c r="A28" s="31"/>
      <c r="B28" s="163"/>
      <c r="C28" s="61" t="s">
        <v>65</v>
      </c>
      <c r="D28" s="61"/>
      <c r="E28" s="52" t="s">
        <v>70</v>
      </c>
      <c r="F28" s="52"/>
      <c r="G28" s="52"/>
      <c r="H28" s="52"/>
      <c r="I28" s="52"/>
      <c r="J28" s="52"/>
      <c r="K28" s="52" t="s">
        <v>70</v>
      </c>
      <c r="L28" s="53"/>
      <c r="M28" s="54">
        <f t="shared" si="0"/>
        <v>2</v>
      </c>
      <c r="N28" s="55">
        <v>3.428571428571428E-2</v>
      </c>
      <c r="O28" s="155"/>
      <c r="P28"/>
    </row>
    <row r="29" spans="1:17" s="28" customFormat="1" ht="55.5" customHeight="1" thickBot="1" x14ac:dyDescent="0.3">
      <c r="A29" s="31"/>
      <c r="B29" s="163"/>
      <c r="C29" s="61" t="s">
        <v>28</v>
      </c>
      <c r="D29" s="61" t="s">
        <v>60</v>
      </c>
      <c r="E29" s="62" t="s">
        <v>70</v>
      </c>
      <c r="F29" s="62"/>
      <c r="G29" s="62"/>
      <c r="H29" s="62"/>
      <c r="I29" s="62"/>
      <c r="J29" s="62"/>
      <c r="K29" s="62"/>
      <c r="L29" s="63"/>
      <c r="M29" s="64">
        <f t="shared" si="0"/>
        <v>1</v>
      </c>
      <c r="N29" s="65">
        <v>8.5714285714285701E-3</v>
      </c>
      <c r="O29" s="164"/>
      <c r="P29"/>
    </row>
    <row r="30" spans="1:17" s="28" customFormat="1" ht="55.5" customHeight="1" x14ac:dyDescent="0.25">
      <c r="A30" s="31"/>
      <c r="B30" s="136" t="s">
        <v>2</v>
      </c>
      <c r="C30" s="92" t="s">
        <v>14</v>
      </c>
      <c r="D30" s="92" t="s">
        <v>61</v>
      </c>
      <c r="E30" s="93"/>
      <c r="F30" s="93"/>
      <c r="G30" s="93"/>
      <c r="H30" s="93"/>
      <c r="I30" s="93" t="s">
        <v>70</v>
      </c>
      <c r="J30" s="93"/>
      <c r="K30" s="93"/>
      <c r="L30" s="94"/>
      <c r="M30" s="95">
        <f t="shared" si="0"/>
        <v>1</v>
      </c>
      <c r="N30" s="96">
        <v>4.4999999999999998E-2</v>
      </c>
      <c r="O30" s="139">
        <f>SUM(N30:N33)</f>
        <v>0.12</v>
      </c>
      <c r="P30"/>
    </row>
    <row r="31" spans="1:17" s="28" customFormat="1" ht="55.5" customHeight="1" x14ac:dyDescent="0.25">
      <c r="A31" s="31"/>
      <c r="B31" s="137"/>
      <c r="C31" s="97" t="s">
        <v>17</v>
      </c>
      <c r="D31" s="98" t="s">
        <v>62</v>
      </c>
      <c r="E31" s="99"/>
      <c r="F31" s="99"/>
      <c r="G31" s="99" t="s">
        <v>70</v>
      </c>
      <c r="H31" s="99"/>
      <c r="I31" s="99"/>
      <c r="J31" s="99"/>
      <c r="K31" s="99"/>
      <c r="L31" s="100"/>
      <c r="M31" s="101">
        <f t="shared" si="0"/>
        <v>1</v>
      </c>
      <c r="N31" s="102">
        <v>1.4999999999999999E-2</v>
      </c>
      <c r="O31" s="140"/>
      <c r="P31"/>
    </row>
    <row r="32" spans="1:17" s="28" customFormat="1" ht="55.5" customHeight="1" x14ac:dyDescent="0.25">
      <c r="A32" s="31"/>
      <c r="B32" s="137"/>
      <c r="C32" s="98" t="s">
        <v>18</v>
      </c>
      <c r="D32" s="98" t="s">
        <v>33</v>
      </c>
      <c r="E32" s="99"/>
      <c r="F32" s="99"/>
      <c r="G32" s="99"/>
      <c r="H32" s="99"/>
      <c r="I32" s="99"/>
      <c r="J32" s="99"/>
      <c r="K32" s="99"/>
      <c r="L32" s="100"/>
      <c r="M32" s="101">
        <f t="shared" si="0"/>
        <v>0</v>
      </c>
      <c r="N32" s="102">
        <v>4.4999999999999998E-2</v>
      </c>
      <c r="O32" s="140"/>
      <c r="P32"/>
    </row>
    <row r="33" spans="1:17" s="28" customFormat="1" ht="55.5" customHeight="1" thickBot="1" x14ac:dyDescent="0.3">
      <c r="A33" s="31"/>
      <c r="B33" s="138"/>
      <c r="C33" s="103" t="s">
        <v>32</v>
      </c>
      <c r="D33" s="103" t="s">
        <v>34</v>
      </c>
      <c r="E33" s="104"/>
      <c r="F33" s="104"/>
      <c r="G33" s="104" t="s">
        <v>70</v>
      </c>
      <c r="H33" s="104"/>
      <c r="I33" s="104"/>
      <c r="J33" s="104" t="s">
        <v>70</v>
      </c>
      <c r="K33" s="104"/>
      <c r="L33" s="105"/>
      <c r="M33" s="106">
        <f t="shared" si="0"/>
        <v>2</v>
      </c>
      <c r="N33" s="107">
        <v>1.4999999999999999E-2</v>
      </c>
      <c r="O33" s="141"/>
      <c r="P33"/>
    </row>
    <row r="34" spans="1:17" s="28" customFormat="1" ht="55.5" customHeight="1" x14ac:dyDescent="0.25">
      <c r="A34" s="31"/>
      <c r="B34" s="142" t="s">
        <v>3</v>
      </c>
      <c r="C34" s="46" t="s">
        <v>10</v>
      </c>
      <c r="D34" s="66" t="s">
        <v>98</v>
      </c>
      <c r="E34" s="47"/>
      <c r="F34" s="47"/>
      <c r="G34" s="47"/>
      <c r="H34" s="47"/>
      <c r="I34" s="47"/>
      <c r="J34" s="47"/>
      <c r="K34" s="47" t="s">
        <v>70</v>
      </c>
      <c r="L34" s="48"/>
      <c r="M34" s="49">
        <f t="shared" si="0"/>
        <v>1</v>
      </c>
      <c r="N34" s="67">
        <v>5.1116666666666657E-2</v>
      </c>
      <c r="O34" s="145">
        <f>SUM(N34:N36)</f>
        <v>0.30669999999999992</v>
      </c>
      <c r="P34"/>
      <c r="Q34" s="27"/>
    </row>
    <row r="35" spans="1:17" s="28" customFormat="1" ht="55.5" customHeight="1" x14ac:dyDescent="0.25">
      <c r="A35"/>
      <c r="B35" s="143"/>
      <c r="C35" s="68" t="s">
        <v>97</v>
      </c>
      <c r="D35" s="51" t="s">
        <v>95</v>
      </c>
      <c r="E35" s="69" t="s">
        <v>70</v>
      </c>
      <c r="F35" s="52"/>
      <c r="G35" s="52"/>
      <c r="H35" s="52"/>
      <c r="I35" s="52"/>
      <c r="J35" s="52"/>
      <c r="K35" s="52" t="s">
        <v>70</v>
      </c>
      <c r="L35" s="53"/>
      <c r="M35" s="54">
        <f t="shared" si="0"/>
        <v>2</v>
      </c>
      <c r="N35" s="55">
        <v>0.20446666666666663</v>
      </c>
      <c r="O35" s="146"/>
      <c r="P35"/>
      <c r="Q35" s="27"/>
    </row>
    <row r="36" spans="1:17" s="28" customFormat="1" ht="55.5" customHeight="1" thickBot="1" x14ac:dyDescent="0.3">
      <c r="A36" s="31"/>
      <c r="B36" s="144"/>
      <c r="C36" s="56" t="s">
        <v>15</v>
      </c>
      <c r="D36" s="70" t="s">
        <v>48</v>
      </c>
      <c r="E36" s="57"/>
      <c r="F36" s="57"/>
      <c r="G36" s="57"/>
      <c r="H36" s="57"/>
      <c r="I36" s="57"/>
      <c r="J36" s="57"/>
      <c r="K36" s="57"/>
      <c r="L36" s="58"/>
      <c r="M36" s="59">
        <f t="shared" si="0"/>
        <v>0</v>
      </c>
      <c r="N36" s="60">
        <v>5.1116666666666657E-2</v>
      </c>
      <c r="O36" s="147"/>
      <c r="P36"/>
      <c r="Q36" s="27"/>
    </row>
    <row r="37" spans="1:17" s="28" customFormat="1" ht="55.5" customHeight="1" x14ac:dyDescent="0.25">
      <c r="A37" s="31"/>
      <c r="B37" s="136" t="s">
        <v>26</v>
      </c>
      <c r="C37" s="92" t="s">
        <v>19</v>
      </c>
      <c r="D37" s="108" t="s">
        <v>63</v>
      </c>
      <c r="E37" s="93"/>
      <c r="F37" s="93"/>
      <c r="G37" s="93" t="s">
        <v>70</v>
      </c>
      <c r="H37" s="93"/>
      <c r="I37" s="93"/>
      <c r="J37" s="93"/>
      <c r="K37" s="93"/>
      <c r="L37" s="94"/>
      <c r="M37" s="95">
        <f t="shared" si="0"/>
        <v>1</v>
      </c>
      <c r="N37" s="109">
        <v>2.3333333333333334E-2</v>
      </c>
      <c r="O37" s="148">
        <f>SUM(N37:N39)</f>
        <v>7.0000000000000007E-2</v>
      </c>
      <c r="P37"/>
      <c r="Q37" s="27"/>
    </row>
    <row r="38" spans="1:17" s="28" customFormat="1" ht="55.5" customHeight="1" x14ac:dyDescent="0.25">
      <c r="A38" s="31"/>
      <c r="B38" s="137"/>
      <c r="C38" s="98" t="s">
        <v>49</v>
      </c>
      <c r="D38" s="98" t="s">
        <v>50</v>
      </c>
      <c r="E38" s="110"/>
      <c r="F38" s="99"/>
      <c r="G38" s="99" t="s">
        <v>70</v>
      </c>
      <c r="H38" s="99"/>
      <c r="I38" s="99"/>
      <c r="J38" s="99"/>
      <c r="K38" s="99"/>
      <c r="L38" s="100"/>
      <c r="M38" s="101">
        <f t="shared" si="0"/>
        <v>1</v>
      </c>
      <c r="N38" s="111">
        <v>2.3333333333333334E-2</v>
      </c>
      <c r="O38" s="149"/>
      <c r="P38"/>
    </row>
    <row r="39" spans="1:17" s="28" customFormat="1" ht="55.5" customHeight="1" thickBot="1" x14ac:dyDescent="0.3">
      <c r="A39" s="31"/>
      <c r="B39" s="138"/>
      <c r="C39" s="103" t="s">
        <v>27</v>
      </c>
      <c r="D39" s="112" t="s">
        <v>51</v>
      </c>
      <c r="E39" s="104"/>
      <c r="F39" s="104"/>
      <c r="G39" s="104" t="s">
        <v>70</v>
      </c>
      <c r="H39" s="104"/>
      <c r="I39" s="104"/>
      <c r="J39" s="104"/>
      <c r="K39" s="104" t="s">
        <v>70</v>
      </c>
      <c r="L39" s="105"/>
      <c r="M39" s="106">
        <f t="shared" si="0"/>
        <v>2</v>
      </c>
      <c r="N39" s="113">
        <v>2.3333333333333334E-2</v>
      </c>
      <c r="O39" s="150"/>
      <c r="P39"/>
    </row>
    <row r="40" spans="1:17" ht="26.25" customHeight="1" thickBot="1" x14ac:dyDescent="0.25">
      <c r="A40" s="30"/>
      <c r="B40" s="30"/>
      <c r="C40" s="130" t="s">
        <v>107</v>
      </c>
      <c r="D40" s="131"/>
      <c r="E40" s="41">
        <f>+COUNTIF(E7:E39,"X")</f>
        <v>11</v>
      </c>
      <c r="F40" s="41">
        <f t="shared" ref="F40:L40" si="1">+COUNTIF(F7:F39,"X")</f>
        <v>7</v>
      </c>
      <c r="G40" s="41">
        <f t="shared" si="1"/>
        <v>5</v>
      </c>
      <c r="H40" s="41">
        <f t="shared" si="1"/>
        <v>8</v>
      </c>
      <c r="I40" s="41">
        <f t="shared" si="1"/>
        <v>1</v>
      </c>
      <c r="J40" s="41">
        <f t="shared" si="1"/>
        <v>1</v>
      </c>
      <c r="K40" s="41">
        <f t="shared" si="1"/>
        <v>7</v>
      </c>
      <c r="L40" s="42">
        <f t="shared" si="1"/>
        <v>2</v>
      </c>
      <c r="M40" s="38"/>
      <c r="N40" s="39">
        <f>SUM(N7:N39)</f>
        <v>0.99984394989191305</v>
      </c>
      <c r="O40" s="40">
        <f>SUM(O7:O39)</f>
        <v>0.99984394989191272</v>
      </c>
    </row>
    <row r="41" spans="1:17" ht="26.25" customHeight="1" thickBot="1" x14ac:dyDescent="0.25">
      <c r="A41" s="30"/>
      <c r="B41" s="30"/>
      <c r="C41" s="132" t="s">
        <v>108</v>
      </c>
      <c r="D41" s="133"/>
      <c r="E41" s="71">
        <f t="shared" ref="E41:L41" si="2">+SUMIFS($N$7:$N$39,E7:E39,"X")</f>
        <v>0.37609410610575728</v>
      </c>
      <c r="F41" s="71">
        <f t="shared" si="2"/>
        <v>0.14963068969166191</v>
      </c>
      <c r="G41" s="71">
        <f t="shared" si="2"/>
        <v>9.9999999999999992E-2</v>
      </c>
      <c r="H41" s="71">
        <f t="shared" si="2"/>
        <v>0.27668245561876742</v>
      </c>
      <c r="I41" s="71">
        <f t="shared" si="2"/>
        <v>4.4999999999999998E-2</v>
      </c>
      <c r="J41" s="71">
        <f t="shared" si="2"/>
        <v>1.4999999999999999E-2</v>
      </c>
      <c r="K41" s="71">
        <f t="shared" si="2"/>
        <v>0.3927156411526318</v>
      </c>
      <c r="L41" s="72">
        <f t="shared" si="2"/>
        <v>4.8888888888888885E-2</v>
      </c>
      <c r="M41" s="35"/>
      <c r="N41" s="35"/>
      <c r="O41" s="35"/>
    </row>
    <row r="42" spans="1:17" ht="39" customHeight="1" thickBot="1" x14ac:dyDescent="0.25">
      <c r="A42" s="30"/>
      <c r="B42" s="30"/>
      <c r="C42" s="30"/>
      <c r="D42" s="30"/>
      <c r="E42" s="32" t="str">
        <f>+E6</f>
        <v>LAST PLANNER SYSTEM</v>
      </c>
      <c r="F42" s="32" t="str">
        <f t="shared" ref="F42:L42" si="3">+F6</f>
        <v>PRUEBA DE LOS 5 MINUTOS</v>
      </c>
      <c r="G42" s="33" t="str">
        <f t="shared" si="3"/>
        <v>GESTIÓN VISUAL</v>
      </c>
      <c r="H42" s="32" t="str">
        <f t="shared" si="3"/>
        <v>JUSTO A TIEMPO</v>
      </c>
      <c r="I42" s="34" t="str">
        <f t="shared" si="3"/>
        <v>MANTENIMIENTO PRODUCTIVO TOTAL (TPM)</v>
      </c>
      <c r="J42" s="34" t="str">
        <f t="shared" si="3"/>
        <v>POKA YOKE</v>
      </c>
      <c r="K42" s="32" t="str">
        <f t="shared" si="3"/>
        <v>5S</v>
      </c>
      <c r="L42" s="33" t="str">
        <f t="shared" si="3"/>
        <v>BIM REVIT</v>
      </c>
      <c r="M42" s="35"/>
      <c r="N42" s="35"/>
      <c r="O42" s="36"/>
    </row>
    <row r="43" spans="1:17" ht="19.5" customHeight="1" thickBot="1" x14ac:dyDescent="0.25">
      <c r="A43" s="30"/>
      <c r="B43" s="30"/>
      <c r="C43" s="134" t="s">
        <v>85</v>
      </c>
      <c r="D43" s="135"/>
      <c r="E43" s="73">
        <v>1</v>
      </c>
      <c r="F43" s="73">
        <v>4</v>
      </c>
      <c r="G43" s="74">
        <v>5</v>
      </c>
      <c r="H43" s="73">
        <v>3</v>
      </c>
      <c r="I43" s="75">
        <v>7</v>
      </c>
      <c r="J43" s="75">
        <v>8</v>
      </c>
      <c r="K43" s="73">
        <v>2</v>
      </c>
      <c r="L43" s="74">
        <v>6</v>
      </c>
      <c r="M43" s="35"/>
      <c r="N43" s="35"/>
      <c r="O43" s="35"/>
    </row>
  </sheetData>
  <mergeCells count="23">
    <mergeCell ref="B2:O2"/>
    <mergeCell ref="B11:B17"/>
    <mergeCell ref="O11:O17"/>
    <mergeCell ref="A4:D4"/>
    <mergeCell ref="E4:L4"/>
    <mergeCell ref="B5:D5"/>
    <mergeCell ref="B7:B10"/>
    <mergeCell ref="O7:O10"/>
    <mergeCell ref="B18:B20"/>
    <mergeCell ref="O18:O20"/>
    <mergeCell ref="B21:B25"/>
    <mergeCell ref="O21:O25"/>
    <mergeCell ref="B26:B29"/>
    <mergeCell ref="O26:O29"/>
    <mergeCell ref="C40:D40"/>
    <mergeCell ref="C41:D41"/>
    <mergeCell ref="C43:D43"/>
    <mergeCell ref="B30:B33"/>
    <mergeCell ref="O30:O33"/>
    <mergeCell ref="B34:B36"/>
    <mergeCell ref="O34:O36"/>
    <mergeCell ref="B37:B39"/>
    <mergeCell ref="O37:O39"/>
  </mergeCells>
  <pageMargins left="0.7" right="0.7" top="0.75" bottom="0.75" header="0.3" footer="0.3"/>
  <pageSetup paperSize="9" orientation="portrait" horizontalDpi="300" verticalDpi="300" r:id="rId1"/>
  <ignoredErrors>
    <ignoredError sqref="O7 O11 O18 O21 O26 O30 O34 O3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BF26-B0F2-40E5-8ECE-553CF38A30AD}">
  <dimension ref="B3:C5"/>
  <sheetViews>
    <sheetView workbookViewId="0">
      <selection activeCell="E5" sqref="E5"/>
    </sheetView>
  </sheetViews>
  <sheetFormatPr baseColWidth="10" defaultRowHeight="15" x14ac:dyDescent="0.25"/>
  <cols>
    <col min="1" max="1" width="5.85546875" customWidth="1"/>
    <col min="2" max="2" width="28.7109375" customWidth="1"/>
    <col min="3" max="3" width="42" customWidth="1"/>
  </cols>
  <sheetData>
    <row r="3" spans="2:3" ht="23.25" customHeight="1" thickBot="1" x14ac:dyDescent="0.3"/>
    <row r="4" spans="2:3" ht="76.5" customHeight="1" thickBot="1" x14ac:dyDescent="0.3">
      <c r="B4" s="122" t="s">
        <v>115</v>
      </c>
      <c r="C4" s="123" t="s">
        <v>114</v>
      </c>
    </row>
    <row r="5" spans="2:3" ht="168" customHeight="1" thickBot="1" x14ac:dyDescent="0.3">
      <c r="B5" s="123" t="s">
        <v>116</v>
      </c>
      <c r="C5" s="124"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2:I8"/>
  <sheetViews>
    <sheetView workbookViewId="0">
      <selection activeCell="H4" sqref="H4"/>
    </sheetView>
  </sheetViews>
  <sheetFormatPr baseColWidth="10" defaultRowHeight="15" x14ac:dyDescent="0.25"/>
  <cols>
    <col min="1" max="1" width="3.5703125" customWidth="1"/>
    <col min="2" max="2" width="17.85546875" customWidth="1"/>
    <col min="3" max="9" width="8.42578125" customWidth="1"/>
  </cols>
  <sheetData>
    <row r="2" spans="2:9" ht="24" customHeight="1" x14ac:dyDescent="0.25">
      <c r="B2" s="3"/>
      <c r="C2" s="180" t="s">
        <v>4</v>
      </c>
      <c r="D2" s="180"/>
      <c r="E2" s="180"/>
      <c r="F2" s="180"/>
      <c r="G2" s="180"/>
      <c r="H2" s="180"/>
      <c r="I2" s="180"/>
    </row>
    <row r="3" spans="2:9" ht="31.5" customHeight="1" x14ac:dyDescent="0.25">
      <c r="B3" s="4" t="s">
        <v>105</v>
      </c>
      <c r="C3" s="1" t="s">
        <v>84</v>
      </c>
      <c r="D3" s="4"/>
      <c r="E3" s="4"/>
      <c r="F3" s="4" t="s">
        <v>87</v>
      </c>
      <c r="G3" s="1" t="s">
        <v>88</v>
      </c>
      <c r="H3" s="1"/>
      <c r="I3" s="1"/>
    </row>
    <row r="4" spans="2:9" x14ac:dyDescent="0.25">
      <c r="B4" s="182">
        <v>11</v>
      </c>
      <c r="C4" s="181">
        <v>0.12</v>
      </c>
      <c r="D4" s="10">
        <f>+$C$4*(2.42/8.87)</f>
        <v>3.273957158962796E-2</v>
      </c>
      <c r="E4" s="10">
        <f>+D4/$C$4</f>
        <v>0.27282976324689967</v>
      </c>
      <c r="F4" s="6">
        <f>+E4*$B$4</f>
        <v>3.0011273957158964</v>
      </c>
      <c r="G4" s="6">
        <v>3</v>
      </c>
      <c r="H4" s="5">
        <f>+G4/$G$8</f>
        <v>0.27272727272727271</v>
      </c>
      <c r="I4" s="9">
        <f>+H4*$C$4</f>
        <v>3.2727272727272723E-2</v>
      </c>
    </row>
    <row r="5" spans="2:9" x14ac:dyDescent="0.25">
      <c r="B5" s="182"/>
      <c r="C5" s="181"/>
      <c r="D5" s="10">
        <f t="shared" ref="D5:D6" si="0">+$C$4*(2.42/8.87)</f>
        <v>3.273957158962796E-2</v>
      </c>
      <c r="E5" s="10">
        <f t="shared" ref="E5:E7" si="1">+D5/$C$4</f>
        <v>0.27282976324689967</v>
      </c>
      <c r="F5" s="6">
        <f t="shared" ref="F5:F7" si="2">+E5*$B$4</f>
        <v>3.0011273957158964</v>
      </c>
      <c r="G5" s="7">
        <v>3</v>
      </c>
      <c r="H5" s="5">
        <f t="shared" ref="H5:H7" si="3">+G5/$G$8</f>
        <v>0.27272727272727271</v>
      </c>
      <c r="I5" s="9">
        <f t="shared" ref="I5:I7" si="4">+H5*$C$4</f>
        <v>3.2727272727272723E-2</v>
      </c>
    </row>
    <row r="6" spans="2:9" x14ac:dyDescent="0.25">
      <c r="B6" s="182"/>
      <c r="C6" s="181"/>
      <c r="D6" s="10">
        <f t="shared" si="0"/>
        <v>3.273957158962796E-2</v>
      </c>
      <c r="E6" s="10">
        <f t="shared" si="1"/>
        <v>0.27282976324689967</v>
      </c>
      <c r="F6" s="6">
        <f t="shared" si="2"/>
        <v>3.0011273957158964</v>
      </c>
      <c r="G6" s="7">
        <v>3</v>
      </c>
      <c r="H6" s="5">
        <f t="shared" si="3"/>
        <v>0.27272727272727271</v>
      </c>
      <c r="I6" s="9">
        <f t="shared" si="4"/>
        <v>3.2727272727272723E-2</v>
      </c>
    </row>
    <row r="7" spans="2:9" x14ac:dyDescent="0.25">
      <c r="B7" s="182"/>
      <c r="C7" s="181"/>
      <c r="D7" s="10">
        <f>+$C$4*(1.61/8.87)</f>
        <v>2.1781285231116124E-2</v>
      </c>
      <c r="E7" s="10">
        <f t="shared" si="1"/>
        <v>0.18151071025930104</v>
      </c>
      <c r="F7" s="6">
        <f t="shared" si="2"/>
        <v>1.9966178128523115</v>
      </c>
      <c r="G7" s="7">
        <v>2</v>
      </c>
      <c r="H7" s="5">
        <f t="shared" si="3"/>
        <v>0.18181818181818182</v>
      </c>
      <c r="I7" s="9">
        <f t="shared" si="4"/>
        <v>2.1818181818181816E-2</v>
      </c>
    </row>
    <row r="8" spans="2:9" x14ac:dyDescent="0.25">
      <c r="D8" s="12">
        <f t="shared" ref="D8:I8" si="5">SUM(D4:D7)</f>
        <v>0.12000000000000001</v>
      </c>
      <c r="E8" s="12">
        <f t="shared" si="5"/>
        <v>1</v>
      </c>
      <c r="F8" s="14">
        <f t="shared" si="5"/>
        <v>11.000000000000002</v>
      </c>
      <c r="G8" s="19">
        <f t="shared" si="5"/>
        <v>11</v>
      </c>
      <c r="H8" s="20">
        <f t="shared" si="5"/>
        <v>1</v>
      </c>
      <c r="I8" s="12">
        <f t="shared" si="5"/>
        <v>0.12</v>
      </c>
    </row>
  </sheetData>
  <mergeCells count="3">
    <mergeCell ref="C2:I2"/>
    <mergeCell ref="C4:C7"/>
    <mergeCell ref="B4:B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2:I11"/>
  <sheetViews>
    <sheetView workbookViewId="0">
      <selection activeCell="B3" sqref="B3"/>
    </sheetView>
  </sheetViews>
  <sheetFormatPr baseColWidth="10" defaultRowHeight="15" x14ac:dyDescent="0.25"/>
  <cols>
    <col min="1" max="1" width="6.5703125" customWidth="1"/>
    <col min="2" max="2" width="21.28515625" customWidth="1"/>
    <col min="3" max="9" width="8.140625" customWidth="1"/>
  </cols>
  <sheetData>
    <row r="2" spans="2:9" x14ac:dyDescent="0.25">
      <c r="B2" s="3"/>
      <c r="C2" s="180" t="s">
        <v>1</v>
      </c>
      <c r="D2" s="180"/>
      <c r="E2" s="180"/>
      <c r="F2" s="180"/>
      <c r="G2" s="180"/>
      <c r="H2" s="180"/>
      <c r="I2" s="180"/>
    </row>
    <row r="3" spans="2:9" ht="30" x14ac:dyDescent="0.25">
      <c r="B3" s="4" t="s">
        <v>105</v>
      </c>
      <c r="C3" s="1" t="s">
        <v>84</v>
      </c>
      <c r="D3" s="4"/>
      <c r="E3" s="4"/>
      <c r="F3" s="4" t="s">
        <v>87</v>
      </c>
      <c r="G3" s="1" t="s">
        <v>88</v>
      </c>
      <c r="H3" s="1"/>
      <c r="I3" s="1"/>
    </row>
    <row r="4" spans="2:9" x14ac:dyDescent="0.25">
      <c r="B4" s="186">
        <v>12</v>
      </c>
      <c r="C4" s="183">
        <f>15%/1.8041</f>
        <v>8.3143949891912858E-2</v>
      </c>
      <c r="D4" s="9">
        <v>2.4943184967573858E-2</v>
      </c>
      <c r="E4" s="10">
        <f t="shared" ref="E4:E10" si="0">+D4/$C$4</f>
        <v>0.3</v>
      </c>
      <c r="F4" s="6">
        <f t="shared" ref="F4:F10" si="1">+E4*$B$4</f>
        <v>3.5999999999999996</v>
      </c>
      <c r="G4" s="1">
        <v>4</v>
      </c>
      <c r="H4" s="5">
        <f t="shared" ref="H4:H6" si="2">+G4/$G$11</f>
        <v>0.33333333333333331</v>
      </c>
      <c r="I4" s="9">
        <f t="shared" ref="I4:I6" si="3">+H4*$C$4</f>
        <v>2.7714649963970953E-2</v>
      </c>
    </row>
    <row r="5" spans="2:9" x14ac:dyDescent="0.25">
      <c r="B5" s="187"/>
      <c r="C5" s="184"/>
      <c r="D5" s="9">
        <v>8.3143949891912854E-3</v>
      </c>
      <c r="E5" s="10">
        <f t="shared" si="0"/>
        <v>9.9999999999999992E-2</v>
      </c>
      <c r="F5" s="6">
        <f t="shared" si="1"/>
        <v>1.2</v>
      </c>
      <c r="G5" s="1">
        <v>1</v>
      </c>
      <c r="H5" s="5">
        <f t="shared" si="2"/>
        <v>8.3333333333333329E-2</v>
      </c>
      <c r="I5" s="9">
        <f t="shared" si="3"/>
        <v>6.9286624909927381E-3</v>
      </c>
    </row>
    <row r="6" spans="2:9" x14ac:dyDescent="0.25">
      <c r="B6" s="187"/>
      <c r="C6" s="184"/>
      <c r="D6" s="9">
        <v>8.3143949891912854E-3</v>
      </c>
      <c r="E6" s="10">
        <f t="shared" si="0"/>
        <v>9.9999999999999992E-2</v>
      </c>
      <c r="F6" s="6">
        <f t="shared" si="1"/>
        <v>1.2</v>
      </c>
      <c r="G6" s="1">
        <v>1</v>
      </c>
      <c r="H6" s="5">
        <f t="shared" si="2"/>
        <v>8.3333333333333329E-2</v>
      </c>
      <c r="I6" s="9">
        <f t="shared" si="3"/>
        <v>6.9286624909927381E-3</v>
      </c>
    </row>
    <row r="7" spans="2:9" x14ac:dyDescent="0.25">
      <c r="B7" s="187"/>
      <c r="C7" s="184"/>
      <c r="D7" s="8">
        <v>8.3143949891912854E-3</v>
      </c>
      <c r="E7" s="10">
        <f t="shared" si="0"/>
        <v>9.9999999999999992E-2</v>
      </c>
      <c r="F7" s="6">
        <f t="shared" si="1"/>
        <v>1.2</v>
      </c>
      <c r="G7" s="6">
        <v>1</v>
      </c>
      <c r="H7" s="5">
        <f>+G7/$G$11</f>
        <v>8.3333333333333329E-2</v>
      </c>
      <c r="I7" s="9">
        <f>+H7*$C$4</f>
        <v>6.9286624909927381E-3</v>
      </c>
    </row>
    <row r="8" spans="2:9" x14ac:dyDescent="0.25">
      <c r="B8" s="187"/>
      <c r="C8" s="184"/>
      <c r="D8" s="9">
        <v>1.6628789978382571E-2</v>
      </c>
      <c r="E8" s="10">
        <f t="shared" si="0"/>
        <v>0.19999999999999998</v>
      </c>
      <c r="F8" s="6">
        <f t="shared" si="1"/>
        <v>2.4</v>
      </c>
      <c r="G8" s="7">
        <v>3</v>
      </c>
      <c r="H8" s="5">
        <f t="shared" ref="H8:H10" si="4">+G8/$G$11</f>
        <v>0.25</v>
      </c>
      <c r="I8" s="9">
        <f>+H8*$C$4</f>
        <v>2.0785987472978214E-2</v>
      </c>
    </row>
    <row r="9" spans="2:9" x14ac:dyDescent="0.25">
      <c r="B9" s="187"/>
      <c r="C9" s="184"/>
      <c r="D9" s="9">
        <v>8.3143949891912854E-3</v>
      </c>
      <c r="E9" s="10">
        <f t="shared" si="0"/>
        <v>9.9999999999999992E-2</v>
      </c>
      <c r="F9" s="6">
        <f t="shared" si="1"/>
        <v>1.2</v>
      </c>
      <c r="G9" s="7">
        <v>1</v>
      </c>
      <c r="H9" s="5">
        <f t="shared" si="4"/>
        <v>8.3333333333333329E-2</v>
      </c>
      <c r="I9" s="9">
        <f>+H9*$C$4</f>
        <v>6.9286624909927381E-3</v>
      </c>
    </row>
    <row r="10" spans="2:9" x14ac:dyDescent="0.25">
      <c r="B10" s="188"/>
      <c r="C10" s="185"/>
      <c r="D10" s="9">
        <v>8.3143949891912854E-3</v>
      </c>
      <c r="E10" s="10">
        <f t="shared" si="0"/>
        <v>9.9999999999999992E-2</v>
      </c>
      <c r="F10" s="6">
        <f t="shared" si="1"/>
        <v>1.2</v>
      </c>
      <c r="G10" s="7">
        <v>1</v>
      </c>
      <c r="H10" s="5">
        <f t="shared" si="4"/>
        <v>8.3333333333333329E-2</v>
      </c>
      <c r="I10" s="9">
        <f>+H10*$C$4</f>
        <v>6.9286624909927381E-3</v>
      </c>
    </row>
    <row r="11" spans="2:9" x14ac:dyDescent="0.25">
      <c r="D11" s="21">
        <f t="shared" ref="D11:F11" si="5">SUM(D4:D10)</f>
        <v>8.3143949891912858E-2</v>
      </c>
      <c r="E11" s="22">
        <f t="shared" si="5"/>
        <v>0.99999999999999989</v>
      </c>
      <c r="F11" s="19">
        <f t="shared" si="5"/>
        <v>11.999999999999998</v>
      </c>
      <c r="G11" s="19">
        <f>SUM(G4:G10)</f>
        <v>12</v>
      </c>
      <c r="H11" s="20">
        <f>SUM(H4:H10)</f>
        <v>1</v>
      </c>
      <c r="I11" s="12">
        <f>SUM(I4:I10)</f>
        <v>8.3143949891912844E-2</v>
      </c>
    </row>
  </sheetData>
  <mergeCells count="3">
    <mergeCell ref="C2:I2"/>
    <mergeCell ref="C4:C10"/>
    <mergeCell ref="B4:B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I15"/>
  <sheetViews>
    <sheetView workbookViewId="0">
      <selection activeCell="L16" sqref="L16"/>
    </sheetView>
  </sheetViews>
  <sheetFormatPr baseColWidth="10" defaultRowHeight="15" x14ac:dyDescent="0.25"/>
  <cols>
    <col min="2" max="9" width="8.42578125" customWidth="1"/>
  </cols>
  <sheetData>
    <row r="2" spans="2:9" x14ac:dyDescent="0.25">
      <c r="B2" s="3"/>
      <c r="C2" s="180" t="s">
        <v>0</v>
      </c>
      <c r="D2" s="180"/>
      <c r="E2" s="180"/>
      <c r="F2" s="180"/>
      <c r="G2" s="180"/>
      <c r="H2" s="180"/>
      <c r="I2" s="180"/>
    </row>
    <row r="3" spans="2:9" ht="30" x14ac:dyDescent="0.25">
      <c r="B3" s="4" t="s">
        <v>86</v>
      </c>
      <c r="C3" s="1" t="s">
        <v>84</v>
      </c>
      <c r="D3" s="4"/>
      <c r="E3" s="4"/>
      <c r="F3" s="4" t="s">
        <v>87</v>
      </c>
      <c r="G3" s="1" t="s">
        <v>88</v>
      </c>
      <c r="H3" s="1"/>
      <c r="I3" s="1"/>
    </row>
    <row r="4" spans="2:9" x14ac:dyDescent="0.25">
      <c r="B4" s="182">
        <v>5</v>
      </c>
      <c r="C4" s="181">
        <v>0.13</v>
      </c>
      <c r="D4" s="10">
        <f>+$C$4*(3.06/6.1)</f>
        <v>6.521311475409837E-2</v>
      </c>
      <c r="E4" s="10">
        <f>+D4/$C$4</f>
        <v>0.50163934426229517</v>
      </c>
      <c r="F4" s="6">
        <f>+E4*$B$4</f>
        <v>2.5081967213114758</v>
      </c>
      <c r="G4" s="6">
        <v>3</v>
      </c>
      <c r="H4" s="5">
        <f>+G4/$G$7</f>
        <v>0.6</v>
      </c>
      <c r="I4" s="9">
        <f>+H4*$C$4</f>
        <v>7.8E-2</v>
      </c>
    </row>
    <row r="5" spans="2:9" x14ac:dyDescent="0.25">
      <c r="B5" s="182"/>
      <c r="C5" s="181"/>
      <c r="D5" s="10">
        <f>+$C$4*(1.52/6.1)</f>
        <v>3.2393442622950824E-2</v>
      </c>
      <c r="E5" s="10">
        <f t="shared" ref="E5:E6" si="0">+D5/$C$4</f>
        <v>0.2491803278688525</v>
      </c>
      <c r="F5" s="6">
        <f t="shared" ref="F5:F6" si="1">+E5*$B$4</f>
        <v>1.2459016393442626</v>
      </c>
      <c r="G5" s="7">
        <v>1</v>
      </c>
      <c r="H5" s="5">
        <f>+G5/$G$7</f>
        <v>0.2</v>
      </c>
      <c r="I5" s="9">
        <f t="shared" ref="I5:I6" si="2">+H5*$C$4</f>
        <v>2.6000000000000002E-2</v>
      </c>
    </row>
    <row r="6" spans="2:9" x14ac:dyDescent="0.25">
      <c r="B6" s="182"/>
      <c r="C6" s="181"/>
      <c r="D6" s="10">
        <f>+$C$4*(1.52/6.1)</f>
        <v>3.2393442622950824E-2</v>
      </c>
      <c r="E6" s="10">
        <f t="shared" si="0"/>
        <v>0.2491803278688525</v>
      </c>
      <c r="F6" s="6">
        <f t="shared" si="1"/>
        <v>1.2459016393442626</v>
      </c>
      <c r="G6" s="7">
        <v>1</v>
      </c>
      <c r="H6" s="5">
        <f>+G6/$G$7</f>
        <v>0.2</v>
      </c>
      <c r="I6" s="9">
        <f t="shared" si="2"/>
        <v>2.6000000000000002E-2</v>
      </c>
    </row>
    <row r="7" spans="2:9" x14ac:dyDescent="0.25">
      <c r="D7" s="12">
        <f t="shared" ref="D7:I7" si="3">SUM(D4:D6)</f>
        <v>0.13</v>
      </c>
      <c r="E7" s="12">
        <f t="shared" si="3"/>
        <v>1.0000000000000002</v>
      </c>
      <c r="F7" s="15">
        <f t="shared" si="3"/>
        <v>5.0000000000000009</v>
      </c>
      <c r="G7" s="19">
        <f t="shared" si="3"/>
        <v>5</v>
      </c>
      <c r="H7" s="20">
        <f t="shared" si="3"/>
        <v>1</v>
      </c>
      <c r="I7" s="12">
        <f t="shared" si="3"/>
        <v>0.13</v>
      </c>
    </row>
    <row r="13" spans="2:9" x14ac:dyDescent="0.25">
      <c r="D13" s="18"/>
    </row>
    <row r="14" spans="2:9" x14ac:dyDescent="0.25">
      <c r="D14" s="18"/>
    </row>
    <row r="15" spans="2:9" x14ac:dyDescent="0.25">
      <c r="D15" s="18"/>
    </row>
  </sheetData>
  <mergeCells count="3">
    <mergeCell ref="C2:I2"/>
    <mergeCell ref="B4:B6"/>
    <mergeCell ref="C4: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I19"/>
  <sheetViews>
    <sheetView workbookViewId="0">
      <selection activeCell="O21" sqref="O21"/>
    </sheetView>
  </sheetViews>
  <sheetFormatPr baseColWidth="10" defaultRowHeight="15" x14ac:dyDescent="0.25"/>
  <cols>
    <col min="2" max="9" width="8.85546875" customWidth="1"/>
  </cols>
  <sheetData>
    <row r="2" spans="2:9" x14ac:dyDescent="0.25">
      <c r="B2" s="3"/>
      <c r="C2" s="180" t="s">
        <v>25</v>
      </c>
      <c r="D2" s="180"/>
      <c r="E2" s="180"/>
      <c r="F2" s="180"/>
      <c r="G2" s="180"/>
      <c r="H2" s="180"/>
      <c r="I2" s="180"/>
    </row>
    <row r="3" spans="2:9" ht="30" x14ac:dyDescent="0.25">
      <c r="B3" s="4" t="s">
        <v>86</v>
      </c>
      <c r="C3" s="2" t="s">
        <v>84</v>
      </c>
      <c r="D3" s="4"/>
      <c r="E3" s="4"/>
      <c r="F3" s="4" t="s">
        <v>87</v>
      </c>
      <c r="G3" s="2" t="s">
        <v>88</v>
      </c>
      <c r="H3" s="2"/>
      <c r="I3" s="2"/>
    </row>
    <row r="4" spans="2:9" x14ac:dyDescent="0.25">
      <c r="B4" s="182">
        <v>9</v>
      </c>
      <c r="C4" s="181">
        <v>0.11</v>
      </c>
      <c r="D4" s="10">
        <f>+$C$4*(2.22/8.87)</f>
        <v>2.7531003382187152E-2</v>
      </c>
      <c r="E4" s="10">
        <f>+D4/$C$4</f>
        <v>0.25028184892897409</v>
      </c>
      <c r="F4" s="6">
        <f>+E4*$B$4</f>
        <v>2.2525366403607667</v>
      </c>
      <c r="G4" s="6">
        <v>2</v>
      </c>
      <c r="H4" s="9">
        <f>+G4/$G$9</f>
        <v>0.22222222222222221</v>
      </c>
      <c r="I4" s="9">
        <f>+H4*$C$4</f>
        <v>2.4444444444444442E-2</v>
      </c>
    </row>
    <row r="5" spans="2:9" x14ac:dyDescent="0.25">
      <c r="B5" s="182"/>
      <c r="C5" s="181"/>
      <c r="D5" s="10">
        <f>+$C$4*(1.66/8.87)</f>
        <v>2.0586245772266067E-2</v>
      </c>
      <c r="E5" s="10">
        <f t="shared" ref="E5:E8" si="0">+D5/$C$4</f>
        <v>0.18714768883878241</v>
      </c>
      <c r="F5" s="6">
        <f t="shared" ref="F5:F9" si="1">+E5*$B$4</f>
        <v>1.6843291995490417</v>
      </c>
      <c r="G5" s="6">
        <v>2</v>
      </c>
      <c r="H5" s="9">
        <f t="shared" ref="H5:H8" si="2">+G5/$G$9</f>
        <v>0.22222222222222221</v>
      </c>
      <c r="I5" s="9">
        <f t="shared" ref="I5:I8" si="3">+H5*$C$4</f>
        <v>2.4444444444444442E-2</v>
      </c>
    </row>
    <row r="6" spans="2:9" x14ac:dyDescent="0.25">
      <c r="B6" s="182"/>
      <c r="C6" s="181"/>
      <c r="D6" s="10">
        <f>+$C$4*(2.22/8.87)</f>
        <v>2.7531003382187152E-2</v>
      </c>
      <c r="E6" s="10">
        <f t="shared" si="0"/>
        <v>0.25028184892897409</v>
      </c>
      <c r="F6" s="6">
        <f t="shared" si="1"/>
        <v>2.2525366403607667</v>
      </c>
      <c r="G6" s="6">
        <v>2</v>
      </c>
      <c r="H6" s="9">
        <f t="shared" si="2"/>
        <v>0.22222222222222221</v>
      </c>
      <c r="I6" s="9">
        <f t="shared" si="3"/>
        <v>2.4444444444444442E-2</v>
      </c>
    </row>
    <row r="7" spans="2:9" x14ac:dyDescent="0.25">
      <c r="B7" s="182"/>
      <c r="C7" s="181"/>
      <c r="D7" s="10">
        <f>+$C$4*(2.22/8.87)</f>
        <v>2.7531003382187152E-2</v>
      </c>
      <c r="E7" s="10">
        <f t="shared" si="0"/>
        <v>0.25028184892897409</v>
      </c>
      <c r="F7" s="6">
        <f t="shared" si="1"/>
        <v>2.2525366403607667</v>
      </c>
      <c r="G7" s="7">
        <v>2</v>
      </c>
      <c r="H7" s="9">
        <f t="shared" si="2"/>
        <v>0.22222222222222221</v>
      </c>
      <c r="I7" s="9">
        <f t="shared" si="3"/>
        <v>2.4444444444444442E-2</v>
      </c>
    </row>
    <row r="8" spans="2:9" x14ac:dyDescent="0.25">
      <c r="B8" s="182"/>
      <c r="C8" s="181"/>
      <c r="D8" s="10">
        <f>+$C$4*(0.55/8.87)</f>
        <v>6.8207440811724925E-3</v>
      </c>
      <c r="E8" s="10">
        <f t="shared" si="0"/>
        <v>6.2006764374295385E-2</v>
      </c>
      <c r="F8" s="6">
        <f t="shared" si="1"/>
        <v>0.55806087936865845</v>
      </c>
      <c r="G8" s="7">
        <v>1</v>
      </c>
      <c r="H8" s="9">
        <f t="shared" si="2"/>
        <v>0.1111111111111111</v>
      </c>
      <c r="I8" s="9">
        <f t="shared" si="3"/>
        <v>1.2222222222222221E-2</v>
      </c>
    </row>
    <row r="9" spans="2:9" x14ac:dyDescent="0.25">
      <c r="D9" s="12">
        <f>SUM(D4:D8)</f>
        <v>0.11000000000000001</v>
      </c>
      <c r="E9" s="13">
        <f>SUM(E4:E8)</f>
        <v>1</v>
      </c>
      <c r="F9" s="14">
        <f t="shared" si="1"/>
        <v>9</v>
      </c>
      <c r="G9" s="15">
        <f>SUM(G4:G8)</f>
        <v>9</v>
      </c>
      <c r="H9" s="16">
        <f>SUM(H4:H8)</f>
        <v>1</v>
      </c>
      <c r="I9" s="12">
        <f>SUM(I4:I8)</f>
        <v>0.10999999999999999</v>
      </c>
    </row>
    <row r="14" spans="2:9" x14ac:dyDescent="0.25">
      <c r="D14" s="18"/>
    </row>
    <row r="15" spans="2:9" x14ac:dyDescent="0.25">
      <c r="D15" s="18"/>
    </row>
    <row r="16" spans="2:9" x14ac:dyDescent="0.25">
      <c r="D16" s="18"/>
    </row>
    <row r="17" spans="4:4" x14ac:dyDescent="0.25">
      <c r="D17" s="18"/>
    </row>
    <row r="18" spans="4:4" x14ac:dyDescent="0.25">
      <c r="D18" s="18"/>
    </row>
    <row r="19" spans="4:4" x14ac:dyDescent="0.25">
      <c r="D19" s="11"/>
    </row>
  </sheetData>
  <mergeCells count="3">
    <mergeCell ref="C2:I2"/>
    <mergeCell ref="B4:B8"/>
    <mergeCell ref="C4:C8"/>
  </mergeCells>
  <pageMargins left="0.7" right="0.7" top="0.75" bottom="0.75" header="0.3" footer="0.3"/>
  <ignoredErrors>
    <ignoredError sqref="F9 D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I8"/>
  <sheetViews>
    <sheetView workbookViewId="0">
      <selection activeCell="I4" sqref="I4:I7"/>
    </sheetView>
  </sheetViews>
  <sheetFormatPr baseColWidth="10" defaultRowHeight="15" x14ac:dyDescent="0.25"/>
  <cols>
    <col min="2" max="9" width="9.28515625" customWidth="1"/>
  </cols>
  <sheetData>
    <row r="2" spans="2:9" x14ac:dyDescent="0.25">
      <c r="B2" s="3"/>
      <c r="C2" s="180" t="s">
        <v>24</v>
      </c>
      <c r="D2" s="180"/>
      <c r="E2" s="180"/>
      <c r="F2" s="180"/>
      <c r="G2" s="180"/>
      <c r="H2" s="180"/>
      <c r="I2" s="180"/>
    </row>
    <row r="3" spans="2:9" ht="30" x14ac:dyDescent="0.25">
      <c r="B3" s="4" t="s">
        <v>86</v>
      </c>
      <c r="C3" s="2" t="s">
        <v>84</v>
      </c>
      <c r="D3" s="4"/>
      <c r="E3" s="4"/>
      <c r="F3" s="4" t="s">
        <v>87</v>
      </c>
      <c r="G3" s="2" t="s">
        <v>88</v>
      </c>
      <c r="H3" s="2"/>
      <c r="I3" s="2"/>
    </row>
    <row r="4" spans="2:9" x14ac:dyDescent="0.25">
      <c r="B4" s="182">
        <v>7</v>
      </c>
      <c r="C4" s="181">
        <v>0.06</v>
      </c>
      <c r="D4" s="10">
        <f>+$C$4*(0.91/5)</f>
        <v>1.0919999999999999E-2</v>
      </c>
      <c r="E4" s="10">
        <f>+D4/$C$4</f>
        <v>0.182</v>
      </c>
      <c r="F4" s="6">
        <f>+E4*$B$4</f>
        <v>1.274</v>
      </c>
      <c r="G4" s="6">
        <v>1</v>
      </c>
      <c r="H4" s="9">
        <f>+G4/$G$8</f>
        <v>0.14285714285714285</v>
      </c>
      <c r="I4" s="9">
        <f>+H4*$C$4</f>
        <v>8.5714285714285701E-3</v>
      </c>
    </row>
    <row r="5" spans="2:9" x14ac:dyDescent="0.25">
      <c r="B5" s="182"/>
      <c r="C5" s="181"/>
      <c r="D5" s="10">
        <f t="shared" ref="D5:D7" si="0">+$C$4*(0.91/5)</f>
        <v>1.0919999999999999E-2</v>
      </c>
      <c r="E5" s="10">
        <f t="shared" ref="E5:E7" si="1">+D5/$C$4</f>
        <v>0.182</v>
      </c>
      <c r="F5" s="6">
        <f t="shared" ref="F5:F7" si="2">+E5*$B$4</f>
        <v>1.274</v>
      </c>
      <c r="G5" s="6">
        <v>1</v>
      </c>
      <c r="H5" s="9">
        <f t="shared" ref="H5:H7" si="3">+G5/$G$8</f>
        <v>0.14285714285714285</v>
      </c>
      <c r="I5" s="9">
        <f t="shared" ref="I5:I7" si="4">+H5*$C$4</f>
        <v>8.5714285714285701E-3</v>
      </c>
    </row>
    <row r="6" spans="2:9" x14ac:dyDescent="0.25">
      <c r="B6" s="182"/>
      <c r="C6" s="181"/>
      <c r="D6" s="10">
        <f>+$C$4*(2.27/5)</f>
        <v>2.724E-2</v>
      </c>
      <c r="E6" s="10">
        <f t="shared" si="1"/>
        <v>0.45400000000000001</v>
      </c>
      <c r="F6" s="6">
        <f t="shared" si="2"/>
        <v>3.1779999999999999</v>
      </c>
      <c r="G6" s="6">
        <v>4</v>
      </c>
      <c r="H6" s="9">
        <f t="shared" si="3"/>
        <v>0.5714285714285714</v>
      </c>
      <c r="I6" s="9">
        <f t="shared" si="4"/>
        <v>3.428571428571428E-2</v>
      </c>
    </row>
    <row r="7" spans="2:9" x14ac:dyDescent="0.25">
      <c r="B7" s="182"/>
      <c r="C7" s="181"/>
      <c r="D7" s="10">
        <f t="shared" si="0"/>
        <v>1.0919999999999999E-2</v>
      </c>
      <c r="E7" s="10">
        <f t="shared" si="1"/>
        <v>0.182</v>
      </c>
      <c r="F7" s="6">
        <f t="shared" si="2"/>
        <v>1.274</v>
      </c>
      <c r="G7" s="7">
        <v>1</v>
      </c>
      <c r="H7" s="9">
        <f t="shared" si="3"/>
        <v>0.14285714285714285</v>
      </c>
      <c r="I7" s="9">
        <f t="shared" si="4"/>
        <v>8.5714285714285701E-3</v>
      </c>
    </row>
    <row r="8" spans="2:9" x14ac:dyDescent="0.25">
      <c r="D8" s="12">
        <f t="shared" ref="D8:I8" si="5">SUM(D4:D7)</f>
        <v>0.06</v>
      </c>
      <c r="E8" s="13">
        <f t="shared" si="5"/>
        <v>1</v>
      </c>
      <c r="F8" s="14">
        <f t="shared" si="5"/>
        <v>7</v>
      </c>
      <c r="G8" s="15">
        <f t="shared" si="5"/>
        <v>7</v>
      </c>
      <c r="H8" s="16">
        <f t="shared" si="5"/>
        <v>1</v>
      </c>
      <c r="I8" s="12">
        <f t="shared" si="5"/>
        <v>5.9999999999999991E-2</v>
      </c>
    </row>
  </sheetData>
  <mergeCells count="3">
    <mergeCell ref="C2:I2"/>
    <mergeCell ref="B4:B7"/>
    <mergeCell ref="C4:C7"/>
  </mergeCells>
  <pageMargins left="0.7" right="0.7" top="0.75" bottom="0.75" header="0.3" footer="0.3"/>
  <ignoredErrors>
    <ignoredError sqref="D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2:I17"/>
  <sheetViews>
    <sheetView workbookViewId="0">
      <selection activeCell="I4" sqref="I4:I7"/>
    </sheetView>
  </sheetViews>
  <sheetFormatPr baseColWidth="10" defaultRowHeight="15" x14ac:dyDescent="0.25"/>
  <cols>
    <col min="2" max="9" width="9" customWidth="1"/>
  </cols>
  <sheetData>
    <row r="2" spans="2:9" x14ac:dyDescent="0.25">
      <c r="B2" s="3"/>
      <c r="C2" s="180" t="s">
        <v>2</v>
      </c>
      <c r="D2" s="180"/>
      <c r="E2" s="180"/>
      <c r="F2" s="180"/>
      <c r="G2" s="180"/>
      <c r="H2" s="180"/>
      <c r="I2" s="180"/>
    </row>
    <row r="3" spans="2:9" ht="30" x14ac:dyDescent="0.25">
      <c r="B3" s="4" t="s">
        <v>86</v>
      </c>
      <c r="C3" s="2" t="s">
        <v>84</v>
      </c>
      <c r="D3" s="4"/>
      <c r="E3" s="4"/>
      <c r="F3" s="4" t="s">
        <v>87</v>
      </c>
      <c r="G3" s="2" t="s">
        <v>88</v>
      </c>
      <c r="H3" s="2"/>
      <c r="I3" s="2"/>
    </row>
    <row r="4" spans="2:9" x14ac:dyDescent="0.25">
      <c r="B4" s="182">
        <v>16</v>
      </c>
      <c r="C4" s="181">
        <v>0.12</v>
      </c>
      <c r="D4" s="10">
        <f>+$C$4*(5.6/14)</f>
        <v>4.7999999999999994E-2</v>
      </c>
      <c r="E4" s="10">
        <f>+D4/$C$4</f>
        <v>0.39999999999999997</v>
      </c>
      <c r="F4" s="6">
        <f>+E4*$B$4</f>
        <v>6.3999999999999995</v>
      </c>
      <c r="G4" s="6">
        <v>6</v>
      </c>
      <c r="H4" s="9">
        <f>+G4/$G$8</f>
        <v>0.375</v>
      </c>
      <c r="I4" s="9">
        <f>+H4*$C$4</f>
        <v>4.4999999999999998E-2</v>
      </c>
    </row>
    <row r="5" spans="2:9" x14ac:dyDescent="0.25">
      <c r="B5" s="182"/>
      <c r="C5" s="181"/>
      <c r="D5" s="10">
        <f>+$C$4*(1.4/14)</f>
        <v>1.1999999999999999E-2</v>
      </c>
      <c r="E5" s="10">
        <f t="shared" ref="E5:E7" si="0">+D5/$C$4</f>
        <v>9.9999999999999992E-2</v>
      </c>
      <c r="F5" s="6">
        <f t="shared" ref="F5:F7" si="1">+E5*$B$4</f>
        <v>1.5999999999999999</v>
      </c>
      <c r="G5" s="6">
        <v>2</v>
      </c>
      <c r="H5" s="9">
        <f t="shared" ref="H5:H7" si="2">+G5/$G$8</f>
        <v>0.125</v>
      </c>
      <c r="I5" s="9">
        <f t="shared" ref="I5:I7" si="3">+H5*$C$4</f>
        <v>1.4999999999999999E-2</v>
      </c>
    </row>
    <row r="6" spans="2:9" x14ac:dyDescent="0.25">
      <c r="B6" s="182"/>
      <c r="C6" s="181"/>
      <c r="D6" s="10">
        <f t="shared" ref="D6" si="4">+$C$4*(5.6/14)</f>
        <v>4.7999999999999994E-2</v>
      </c>
      <c r="E6" s="10">
        <f t="shared" si="0"/>
        <v>0.39999999999999997</v>
      </c>
      <c r="F6" s="6">
        <f t="shared" si="1"/>
        <v>6.3999999999999995</v>
      </c>
      <c r="G6" s="6">
        <v>6</v>
      </c>
      <c r="H6" s="9">
        <f t="shared" si="2"/>
        <v>0.375</v>
      </c>
      <c r="I6" s="9">
        <f t="shared" si="3"/>
        <v>4.4999999999999998E-2</v>
      </c>
    </row>
    <row r="7" spans="2:9" x14ac:dyDescent="0.25">
      <c r="B7" s="182"/>
      <c r="C7" s="181"/>
      <c r="D7" s="10">
        <f>+$C$4*(1.4/14)</f>
        <v>1.1999999999999999E-2</v>
      </c>
      <c r="E7" s="10">
        <f t="shared" si="0"/>
        <v>9.9999999999999992E-2</v>
      </c>
      <c r="F7" s="6">
        <f t="shared" si="1"/>
        <v>1.5999999999999999</v>
      </c>
      <c r="G7" s="7">
        <v>2</v>
      </c>
      <c r="H7" s="9">
        <f t="shared" si="2"/>
        <v>0.125</v>
      </c>
      <c r="I7" s="9">
        <f t="shared" si="3"/>
        <v>1.4999999999999999E-2</v>
      </c>
    </row>
    <row r="8" spans="2:9" x14ac:dyDescent="0.25">
      <c r="D8" s="12">
        <f t="shared" ref="D8:I8" si="5">SUM(D4:D7)</f>
        <v>0.11999999999999998</v>
      </c>
      <c r="E8" s="13">
        <f t="shared" si="5"/>
        <v>0.99999999999999989</v>
      </c>
      <c r="F8" s="14">
        <f t="shared" si="5"/>
        <v>15.999999999999998</v>
      </c>
      <c r="G8" s="15">
        <f t="shared" si="5"/>
        <v>16</v>
      </c>
      <c r="H8" s="16">
        <f t="shared" si="5"/>
        <v>1</v>
      </c>
      <c r="I8" s="17">
        <f t="shared" si="5"/>
        <v>0.12</v>
      </c>
    </row>
    <row r="14" spans="2:9" x14ac:dyDescent="0.25">
      <c r="D14" s="18"/>
    </row>
    <row r="15" spans="2:9" x14ac:dyDescent="0.25">
      <c r="D15" s="18"/>
    </row>
    <row r="16" spans="2:9" x14ac:dyDescent="0.25">
      <c r="D16" s="18"/>
    </row>
    <row r="17" spans="4:4" x14ac:dyDescent="0.25">
      <c r="D17" s="18"/>
    </row>
  </sheetData>
  <mergeCells count="3">
    <mergeCell ref="C2:I2"/>
    <mergeCell ref="B4:B7"/>
    <mergeCell ref="C4:C7"/>
  </mergeCells>
  <pageMargins left="0.7" right="0.7" top="0.75" bottom="0.75" header="0.3" footer="0.3"/>
  <ignoredErrors>
    <ignoredError sqref="D5:D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2:I7"/>
  <sheetViews>
    <sheetView workbookViewId="0">
      <selection activeCell="B3" sqref="B3"/>
    </sheetView>
  </sheetViews>
  <sheetFormatPr baseColWidth="10" defaultRowHeight="15" x14ac:dyDescent="0.25"/>
  <cols>
    <col min="2" max="2" width="16" customWidth="1"/>
    <col min="3" max="9" width="8.42578125" customWidth="1"/>
  </cols>
  <sheetData>
    <row r="2" spans="2:9" x14ac:dyDescent="0.25">
      <c r="B2" s="3"/>
      <c r="C2" s="180" t="s">
        <v>3</v>
      </c>
      <c r="D2" s="180"/>
      <c r="E2" s="180"/>
      <c r="F2" s="180"/>
      <c r="G2" s="180"/>
      <c r="H2" s="180"/>
      <c r="I2" s="180"/>
    </row>
    <row r="3" spans="2:9" ht="30" x14ac:dyDescent="0.25">
      <c r="B3" s="4" t="s">
        <v>106</v>
      </c>
      <c r="C3" s="2" t="s">
        <v>84</v>
      </c>
      <c r="D3" s="4"/>
      <c r="E3" s="4"/>
      <c r="F3" s="4" t="s">
        <v>87</v>
      </c>
      <c r="G3" s="2" t="s">
        <v>88</v>
      </c>
      <c r="H3" s="2"/>
      <c r="I3" s="2"/>
    </row>
    <row r="4" spans="2:9" x14ac:dyDescent="0.25">
      <c r="B4" s="182">
        <v>6</v>
      </c>
      <c r="C4" s="189">
        <v>0.30669999999999997</v>
      </c>
      <c r="D4" s="10">
        <f>+$C$4*(6.13/30.67)</f>
        <v>6.1299999999999986E-2</v>
      </c>
      <c r="E4" s="10">
        <f>+D4/$C$4</f>
        <v>0.19986957939354416</v>
      </c>
      <c r="F4" s="6">
        <f>+E4*$B$4</f>
        <v>1.1992174763612651</v>
      </c>
      <c r="G4" s="6">
        <v>1</v>
      </c>
      <c r="H4" s="9">
        <f>+G4/$G$7</f>
        <v>0.16666666666666666</v>
      </c>
      <c r="I4" s="9">
        <f>+H4*$C$4</f>
        <v>5.1116666666666657E-2</v>
      </c>
    </row>
    <row r="5" spans="2:9" x14ac:dyDescent="0.25">
      <c r="B5" s="182"/>
      <c r="C5" s="190"/>
      <c r="D5" s="10">
        <f>+$C$4*(18.41/30.67)</f>
        <v>0.18409999999999996</v>
      </c>
      <c r="E5" s="10">
        <f t="shared" ref="E5:E6" si="0">+D5/$C$4</f>
        <v>0.60026084121291157</v>
      </c>
      <c r="F5" s="6">
        <f t="shared" ref="F5:F6" si="1">+E5*$B$4</f>
        <v>3.6015650472774694</v>
      </c>
      <c r="G5" s="6">
        <v>4</v>
      </c>
      <c r="H5" s="9">
        <f>+G5/$G$7</f>
        <v>0.66666666666666663</v>
      </c>
      <c r="I5" s="9">
        <f t="shared" ref="I5:I6" si="2">+H5*$C$4</f>
        <v>0.20446666666666663</v>
      </c>
    </row>
    <row r="6" spans="2:9" x14ac:dyDescent="0.25">
      <c r="B6" s="182"/>
      <c r="C6" s="191"/>
      <c r="D6" s="10">
        <f>+$C$4*(6.13/30.67)</f>
        <v>6.1299999999999986E-2</v>
      </c>
      <c r="E6" s="10">
        <f t="shared" si="0"/>
        <v>0.19986957939354416</v>
      </c>
      <c r="F6" s="6">
        <f t="shared" si="1"/>
        <v>1.1992174763612651</v>
      </c>
      <c r="G6" s="7">
        <v>1</v>
      </c>
      <c r="H6" s="9">
        <f>+G6/$G$7</f>
        <v>0.16666666666666666</v>
      </c>
      <c r="I6" s="9">
        <f t="shared" si="2"/>
        <v>5.1116666666666657E-2</v>
      </c>
    </row>
    <row r="7" spans="2:9" x14ac:dyDescent="0.25">
      <c r="D7" s="12">
        <f t="shared" ref="D7:I7" si="3">SUM(D4:D6)</f>
        <v>0.30669999999999992</v>
      </c>
      <c r="E7" s="13">
        <f t="shared" si="3"/>
        <v>0.99999999999999978</v>
      </c>
      <c r="F7" s="14">
        <f t="shared" si="3"/>
        <v>5.9999999999999991</v>
      </c>
      <c r="G7" s="15">
        <f t="shared" si="3"/>
        <v>6</v>
      </c>
      <c r="H7" s="16">
        <f t="shared" si="3"/>
        <v>0.99999999999999989</v>
      </c>
      <c r="I7" s="12">
        <f t="shared" si="3"/>
        <v>0.30669999999999992</v>
      </c>
    </row>
  </sheetData>
  <mergeCells count="3">
    <mergeCell ref="C2:I2"/>
    <mergeCell ref="B4:B6"/>
    <mergeCell ref="C4:C6"/>
  </mergeCells>
  <pageMargins left="0.7" right="0.7" top="0.75" bottom="0.75" header="0.3" footer="0.3"/>
  <ignoredErrors>
    <ignoredError sqref="D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B2:I7"/>
  <sheetViews>
    <sheetView workbookViewId="0">
      <selection activeCell="O20" sqref="O20"/>
    </sheetView>
  </sheetViews>
  <sheetFormatPr baseColWidth="10" defaultRowHeight="15" x14ac:dyDescent="0.25"/>
  <cols>
    <col min="2" max="9" width="8.5703125" customWidth="1"/>
  </cols>
  <sheetData>
    <row r="2" spans="2:9" x14ac:dyDescent="0.25">
      <c r="B2" s="3"/>
      <c r="C2" s="180" t="s">
        <v>26</v>
      </c>
      <c r="D2" s="180"/>
      <c r="E2" s="180"/>
      <c r="F2" s="180"/>
      <c r="G2" s="180"/>
      <c r="H2" s="180"/>
      <c r="I2" s="180"/>
    </row>
    <row r="3" spans="2:9" ht="30" x14ac:dyDescent="0.25">
      <c r="B3" s="4" t="s">
        <v>86</v>
      </c>
      <c r="C3" s="2" t="s">
        <v>84</v>
      </c>
      <c r="D3" s="4"/>
      <c r="E3" s="4"/>
      <c r="F3" s="4" t="s">
        <v>87</v>
      </c>
      <c r="G3" s="2" t="s">
        <v>88</v>
      </c>
      <c r="H3" s="2"/>
      <c r="I3" s="2"/>
    </row>
    <row r="4" spans="2:9" x14ac:dyDescent="0.25">
      <c r="B4" s="182">
        <v>6</v>
      </c>
      <c r="C4" s="189">
        <v>7.0000000000000007E-2</v>
      </c>
      <c r="D4" s="10">
        <f>+$C$4*(2/6)</f>
        <v>2.3333333333333334E-2</v>
      </c>
      <c r="E4" s="10">
        <f>+D4/$C$4</f>
        <v>0.33333333333333331</v>
      </c>
      <c r="F4" s="6">
        <f>+E4*$B$4</f>
        <v>2</v>
      </c>
      <c r="G4" s="6">
        <v>2</v>
      </c>
      <c r="H4" s="9">
        <f>+G4/$G$7</f>
        <v>0.33333333333333331</v>
      </c>
      <c r="I4" s="9">
        <f>+H4*$C$4</f>
        <v>2.3333333333333334E-2</v>
      </c>
    </row>
    <row r="5" spans="2:9" x14ac:dyDescent="0.25">
      <c r="B5" s="182"/>
      <c r="C5" s="190"/>
      <c r="D5" s="10">
        <f t="shared" ref="D5:D6" si="0">+$C$4*(2/6)</f>
        <v>2.3333333333333334E-2</v>
      </c>
      <c r="E5" s="10">
        <f t="shared" ref="E5:E6" si="1">+D5/$C$4</f>
        <v>0.33333333333333331</v>
      </c>
      <c r="F5" s="6">
        <f t="shared" ref="F5:F6" si="2">+E5*$B$4</f>
        <v>2</v>
      </c>
      <c r="G5" s="6">
        <v>2</v>
      </c>
      <c r="H5" s="9">
        <f>+G5/$G$7</f>
        <v>0.33333333333333331</v>
      </c>
      <c r="I5" s="9">
        <f t="shared" ref="I5:I6" si="3">+H5*$C$4</f>
        <v>2.3333333333333334E-2</v>
      </c>
    </row>
    <row r="6" spans="2:9" x14ac:dyDescent="0.25">
      <c r="B6" s="182"/>
      <c r="C6" s="191"/>
      <c r="D6" s="10">
        <f t="shared" si="0"/>
        <v>2.3333333333333334E-2</v>
      </c>
      <c r="E6" s="10">
        <f t="shared" si="1"/>
        <v>0.33333333333333331</v>
      </c>
      <c r="F6" s="6">
        <f t="shared" si="2"/>
        <v>2</v>
      </c>
      <c r="G6" s="7">
        <v>2</v>
      </c>
      <c r="H6" s="9">
        <f>+G6/$G$7</f>
        <v>0.33333333333333331</v>
      </c>
      <c r="I6" s="9">
        <f t="shared" si="3"/>
        <v>2.3333333333333334E-2</v>
      </c>
    </row>
    <row r="7" spans="2:9" x14ac:dyDescent="0.25">
      <c r="D7" s="12">
        <f t="shared" ref="D7:I7" si="4">SUM(D4:D6)</f>
        <v>7.0000000000000007E-2</v>
      </c>
      <c r="E7" s="13">
        <f t="shared" si="4"/>
        <v>1</v>
      </c>
      <c r="F7" s="14">
        <f t="shared" si="4"/>
        <v>6</v>
      </c>
      <c r="G7" s="15">
        <f t="shared" si="4"/>
        <v>6</v>
      </c>
      <c r="H7" s="16">
        <f t="shared" si="4"/>
        <v>1</v>
      </c>
      <c r="I7" s="12">
        <f t="shared" si="4"/>
        <v>7.0000000000000007E-2</v>
      </c>
    </row>
  </sheetData>
  <mergeCells count="3">
    <mergeCell ref="C2:I2"/>
    <mergeCell ref="B4:B6"/>
    <mergeCell ref="C4: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PARETO</vt:lpstr>
      <vt:lpstr>Hoja1</vt:lpstr>
      <vt:lpstr>CARACTERIZACIÓN DE MUDAS</vt:lpstr>
      <vt:lpstr>Hoja2</vt:lpstr>
      <vt:lpstr>MOVIMIENTOS INNECESARIOS</vt:lpstr>
      <vt:lpstr>ESPERAS</vt:lpstr>
      <vt:lpstr>INVENTARIOS</vt:lpstr>
      <vt:lpstr>REPROCESAMIENTO</vt:lpstr>
      <vt:lpstr>TALENTO HUMANO</vt:lpstr>
      <vt:lpstr>MAQUINAS</vt:lpstr>
      <vt:lpstr>MATERIALES</vt:lpstr>
      <vt:lpstr>AMBIENTE DE TRABAJO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57322</cp:lastModifiedBy>
  <dcterms:created xsi:type="dcterms:W3CDTF">2020-09-10T03:05:04Z</dcterms:created>
  <dcterms:modified xsi:type="dcterms:W3CDTF">2022-06-01T01:23:58Z</dcterms:modified>
</cp:coreProperties>
</file>